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RT03\"/>
    </mc:Choice>
  </mc:AlternateContent>
  <xr:revisionPtr revIDLastSave="0" documentId="13_ncr:1_{7C24A5D0-3FBA-4F62-BC69-A1856EE0548D}" xr6:coauthVersionLast="46" xr6:coauthVersionMax="46" xr10:uidLastSave="{00000000-0000-0000-0000-000000000000}"/>
  <workbookProtection workbookPassword="E9FB" lockStructure="1"/>
  <bookViews>
    <workbookView xWindow="-120" yWindow="-120" windowWidth="20730" windowHeight="11160" xr2:uid="{00000000-000D-0000-FFFF-FFFF00000000}"/>
  </bookViews>
  <sheets>
    <sheet name="RT03-F23 %" sheetId="201" r:id="rId1"/>
    <sheet name="DATOS %" sheetId="132" state="hidden" r:id="rId2"/>
    <sheet name="1 g % " sheetId="228" state="hidden" r:id="rId3"/>
    <sheet name="2 g %  " sheetId="246" state="hidden" r:id="rId4"/>
    <sheet name="2 g % +" sheetId="247" state="hidden" r:id="rId5"/>
    <sheet name="5 g %" sheetId="248" state="hidden" r:id="rId6"/>
    <sheet name="10 g % " sheetId="249" state="hidden" r:id="rId7"/>
    <sheet name="20 g %  " sheetId="250" state="hidden" r:id="rId8"/>
    <sheet name="20 g % +" sheetId="251" state="hidden" r:id="rId9"/>
    <sheet name="50 g % " sheetId="235" state="hidden" r:id="rId10"/>
    <sheet name="100 g % " sheetId="236" state="hidden" r:id="rId11"/>
    <sheet name="200 g % " sheetId="237" state="hidden" r:id="rId12"/>
    <sheet name="200 g % +" sheetId="238" state="hidden" r:id="rId13"/>
    <sheet name="500 g % " sheetId="239" state="hidden" r:id="rId14"/>
    <sheet name="1 kg % " sheetId="240" state="hidden" r:id="rId15"/>
    <sheet name="2 kg %  " sheetId="241" state="hidden" r:id="rId16"/>
    <sheet name="2 kg % +" sheetId="242" state="hidden" r:id="rId17"/>
    <sheet name="5 kg % " sheetId="243" state="hidden" r:id="rId18"/>
    <sheet name="10 kg % " sheetId="244" state="hidden" r:id="rId19"/>
    <sheet name="20 kg %  " sheetId="245" state="hidden" r:id="rId20"/>
  </sheets>
  <externalReferences>
    <externalReference r:id="rId21"/>
  </externalReferences>
  <definedNames>
    <definedName name="_xlnm.Print_Area" localSheetId="2">'1 g % '!$A$1:$M$85</definedName>
    <definedName name="_xlnm.Print_Area" localSheetId="14">'1 kg % '!$A$1:$M$85</definedName>
    <definedName name="_xlnm.Print_Area" localSheetId="6">'10 g % '!$A$1:$M$85</definedName>
    <definedName name="_xlnm.Print_Area" localSheetId="18">'10 kg % '!$A$1:$M$85</definedName>
    <definedName name="_xlnm.Print_Area" localSheetId="10">'100 g % '!$A$1:$M$85</definedName>
    <definedName name="_xlnm.Print_Area" localSheetId="3">'2 g %  '!$A$1:$M$85</definedName>
    <definedName name="_xlnm.Print_Area" localSheetId="4">'2 g % +'!$A$1:$M$85</definedName>
    <definedName name="_xlnm.Print_Area" localSheetId="15">'2 kg %  '!$A$1:$M$85</definedName>
    <definedName name="_xlnm.Print_Area" localSheetId="16">'2 kg % +'!$A$1:$M$85</definedName>
    <definedName name="_xlnm.Print_Area" localSheetId="7">'20 g %  '!$A$1:$M$85</definedName>
    <definedName name="_xlnm.Print_Area" localSheetId="8">'20 g % +'!$A$1:$M$85</definedName>
    <definedName name="_xlnm.Print_Area" localSheetId="19">'20 kg %  '!$A$1:$M$85</definedName>
    <definedName name="_xlnm.Print_Area" localSheetId="11">'200 g % '!$A$1:$M$85</definedName>
    <definedName name="_xlnm.Print_Area" localSheetId="12">'200 g % +'!$A$1:$M$85</definedName>
    <definedName name="_xlnm.Print_Area" localSheetId="5">'5 g %'!$A$1:$M$85</definedName>
    <definedName name="_xlnm.Print_Area" localSheetId="17">'5 kg % '!$A$1:$M$85</definedName>
    <definedName name="_xlnm.Print_Area" localSheetId="9">'50 g % '!$A$1:$M$85</definedName>
    <definedName name="_xlnm.Print_Area" localSheetId="13">'500 g % '!$A$1:$M$85</definedName>
    <definedName name="_xlnm.Print_Area" localSheetId="1">'DATOS %'!$A$1:$AB$180</definedName>
    <definedName name="_xlnm.Print_Area" localSheetId="0">'RT03-F23 %'!$A$1:$M$85</definedName>
    <definedName name="DELTAMAXI">'[1]PRUEBAS DE CALIBRACION'!$G$18</definedName>
    <definedName name="DIVISIÓNDEESCALA">[1]DATOS!$E$13</definedName>
    <definedName name="LEXCENTRICIDAD">'[1]PRUEBAS DE CALIBRACION'!$H$11</definedName>
    <definedName name="Print_Area" localSheetId="2">'1 g % '!$A$1:$K$106</definedName>
    <definedName name="Print_Area" localSheetId="14">'1 kg % '!$A$1:$K$113</definedName>
    <definedName name="Print_Area" localSheetId="6">'10 g % '!$A$1:$K$106</definedName>
    <definedName name="Print_Area" localSheetId="18">'10 kg % '!$A$1:$K$113</definedName>
    <definedName name="Print_Area" localSheetId="10">'100 g % '!$A$1:$K$114</definedName>
    <definedName name="Print_Area" localSheetId="3">'2 g %  '!$A$1:$K$106</definedName>
    <definedName name="Print_Area" localSheetId="4">'2 g % +'!$A$1:$K$106</definedName>
    <definedName name="Print_Area" localSheetId="15">'2 kg %  '!$A$1:$K$113</definedName>
    <definedName name="Print_Area" localSheetId="16">'2 kg % +'!$A$1:$K$113</definedName>
    <definedName name="Print_Area" localSheetId="7">'20 g %  '!$A$1:$K$106</definedName>
    <definedName name="Print_Area" localSheetId="8">'20 g % +'!$A$1:$K$106</definedName>
    <definedName name="Print_Area" localSheetId="19">'20 kg %  '!$A$1:$K$113</definedName>
    <definedName name="Print_Area" localSheetId="11">'200 g % '!$A$1:$K$129</definedName>
    <definedName name="Print_Area" localSheetId="12">'200 g % +'!$A$1:$K$121</definedName>
    <definedName name="Print_Area" localSheetId="5">'5 g %'!$A$1:$K$106</definedName>
    <definedName name="Print_Area" localSheetId="17">'5 kg % '!$A$1:$K$113</definedName>
    <definedName name="Print_Area" localSheetId="9">'50 g % '!$A$1:$K$113</definedName>
    <definedName name="Print_Area" localSheetId="13">'500 g % '!$A$1:$K$113</definedName>
    <definedName name="Print_Area" localSheetId="1">'DATOS %'!$A$1:$AA$136</definedName>
    <definedName name="Print_Area" localSheetId="0">'RT03-F23 %'!$A$1:$K$113</definedName>
    <definedName name="Print_Titles" localSheetId="2">'1 g % '!$1:$1</definedName>
    <definedName name="Print_Titles" localSheetId="14">'1 kg % '!$1:$1</definedName>
    <definedName name="Print_Titles" localSheetId="6">'10 g % '!$1:$1</definedName>
    <definedName name="Print_Titles" localSheetId="18">'10 kg % '!$1:$1</definedName>
    <definedName name="Print_Titles" localSheetId="10">'100 g % '!$1:$1</definedName>
    <definedName name="Print_Titles" localSheetId="3">'2 g %  '!$1:$1</definedName>
    <definedName name="Print_Titles" localSheetId="4">'2 g % +'!$1:$1</definedName>
    <definedName name="Print_Titles" localSheetId="15">'2 kg %  '!$1:$1</definedName>
    <definedName name="Print_Titles" localSheetId="16">'2 kg % +'!$1:$1</definedName>
    <definedName name="Print_Titles" localSheetId="7">'20 g %  '!$1:$1</definedName>
    <definedName name="Print_Titles" localSheetId="8">'20 g % +'!$1:$1</definedName>
    <definedName name="Print_Titles" localSheetId="19">'20 kg %  '!$1:$1</definedName>
    <definedName name="Print_Titles" localSheetId="11">'200 g % '!$1:$1</definedName>
    <definedName name="Print_Titles" localSheetId="12">'200 g % +'!$1:$1</definedName>
    <definedName name="Print_Titles" localSheetId="5">'5 g %'!$1:$1</definedName>
    <definedName name="Print_Titles" localSheetId="17">'5 kg % '!$1:$1</definedName>
    <definedName name="Print_Titles" localSheetId="9">'50 g % '!$1:$1</definedName>
    <definedName name="Print_Titles" localSheetId="13">'500 g % '!$1:$1</definedName>
    <definedName name="Print_Titles" localSheetId="0">'RT03-F23 %'!$1:$1</definedName>
    <definedName name="_xlnm.Print_Titles" localSheetId="2">'1 g % '!$1:$1</definedName>
    <definedName name="_xlnm.Print_Titles" localSheetId="14">'1 kg % '!$1:$1</definedName>
    <definedName name="_xlnm.Print_Titles" localSheetId="6">'10 g % '!$1:$1</definedName>
    <definedName name="_xlnm.Print_Titles" localSheetId="18">'10 kg % '!$1:$1</definedName>
    <definedName name="_xlnm.Print_Titles" localSheetId="10">'100 g % '!$1:$1</definedName>
    <definedName name="_xlnm.Print_Titles" localSheetId="3">'2 g %  '!$1:$1</definedName>
    <definedName name="_xlnm.Print_Titles" localSheetId="4">'2 g % +'!$1:$1</definedName>
    <definedName name="_xlnm.Print_Titles" localSheetId="15">'2 kg %  '!$1:$1</definedName>
    <definedName name="_xlnm.Print_Titles" localSheetId="16">'2 kg % +'!$1:$1</definedName>
    <definedName name="_xlnm.Print_Titles" localSheetId="7">'20 g %  '!$1:$1</definedName>
    <definedName name="_xlnm.Print_Titles" localSheetId="8">'20 g % +'!$1:$1</definedName>
    <definedName name="_xlnm.Print_Titles" localSheetId="19">'20 kg %  '!$1:$1</definedName>
    <definedName name="_xlnm.Print_Titles" localSheetId="11">'200 g % '!$1:$1</definedName>
    <definedName name="_xlnm.Print_Titles" localSheetId="12">'200 g % +'!$1:$1</definedName>
    <definedName name="_xlnm.Print_Titles" localSheetId="5">'5 g %'!$1:$1</definedName>
    <definedName name="_xlnm.Print_Titles" localSheetId="17">'5 kg % '!$1:$1</definedName>
    <definedName name="_xlnm.Print_Titles" localSheetId="9">'50 g % '!$1:$1</definedName>
    <definedName name="_xlnm.Print_Titles" localSheetId="13">'500 g % '!$1:$1</definedName>
    <definedName name="_xlnm.Print_Titles" localSheetId="0">'RT03-F23 %'!$1:$1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4" i="228" l="1"/>
  <c r="J6" i="201" l="1"/>
  <c r="J6" i="228"/>
  <c r="J6" i="246"/>
  <c r="J6" i="247"/>
  <c r="J6" i="248"/>
  <c r="J6" i="249"/>
  <c r="J6" i="250"/>
  <c r="J6" i="251"/>
  <c r="J6" i="235"/>
  <c r="J6" i="236"/>
  <c r="J6" i="237"/>
  <c r="J6" i="238"/>
  <c r="J6" i="239"/>
  <c r="J6" i="240"/>
  <c r="J6" i="241"/>
  <c r="J6" i="242"/>
  <c r="J6" i="243"/>
  <c r="J6" i="244"/>
  <c r="X140" i="132" l="1"/>
  <c r="J37" i="132" l="1"/>
  <c r="C16" i="201" l="1"/>
  <c r="C14" i="201"/>
  <c r="C13" i="201"/>
  <c r="C12" i="201"/>
  <c r="C11" i="201"/>
  <c r="C10" i="201"/>
  <c r="D9" i="201"/>
  <c r="B9" i="201"/>
  <c r="D8" i="201"/>
  <c r="B8" i="201"/>
  <c r="D7" i="201"/>
  <c r="B7" i="201"/>
  <c r="C16" i="247"/>
  <c r="C14" i="247"/>
  <c r="C13" i="247"/>
  <c r="C12" i="247"/>
  <c r="C11" i="247"/>
  <c r="C10" i="247"/>
  <c r="D9" i="247"/>
  <c r="B9" i="247"/>
  <c r="D8" i="247"/>
  <c r="B8" i="247"/>
  <c r="D7" i="247"/>
  <c r="B7" i="247"/>
  <c r="C16" i="248"/>
  <c r="C14" i="248"/>
  <c r="C13" i="248"/>
  <c r="C12" i="248"/>
  <c r="C11" i="248"/>
  <c r="C10" i="248"/>
  <c r="D9" i="248"/>
  <c r="B9" i="248"/>
  <c r="D8" i="248"/>
  <c r="B8" i="248"/>
  <c r="D7" i="248"/>
  <c r="B7" i="248"/>
  <c r="C16" i="249"/>
  <c r="C14" i="249"/>
  <c r="C13" i="249"/>
  <c r="C12" i="249"/>
  <c r="C11" i="249"/>
  <c r="C10" i="249"/>
  <c r="D9" i="249"/>
  <c r="B9" i="249"/>
  <c r="D8" i="249"/>
  <c r="B8" i="249"/>
  <c r="D7" i="249"/>
  <c r="B7" i="249"/>
  <c r="C16" i="250"/>
  <c r="C14" i="250"/>
  <c r="C13" i="250"/>
  <c r="C12" i="250"/>
  <c r="C11" i="250"/>
  <c r="C10" i="250"/>
  <c r="D9" i="250"/>
  <c r="B9" i="250"/>
  <c r="D8" i="250"/>
  <c r="B8" i="250"/>
  <c r="D7" i="250"/>
  <c r="B7" i="250"/>
  <c r="C16" i="251"/>
  <c r="C14" i="251"/>
  <c r="C13" i="251"/>
  <c r="C12" i="251"/>
  <c r="C11" i="251"/>
  <c r="C10" i="251"/>
  <c r="D9" i="251"/>
  <c r="B9" i="251"/>
  <c r="D8" i="251"/>
  <c r="B8" i="251"/>
  <c r="D7" i="251"/>
  <c r="B7" i="251"/>
  <c r="C16" i="235"/>
  <c r="C14" i="235"/>
  <c r="C13" i="235"/>
  <c r="C12" i="235"/>
  <c r="C11" i="235"/>
  <c r="C10" i="235"/>
  <c r="D9" i="235"/>
  <c r="B9" i="235"/>
  <c r="D8" i="235"/>
  <c r="B8" i="235"/>
  <c r="D7" i="235"/>
  <c r="B7" i="235"/>
  <c r="C16" i="236"/>
  <c r="C14" i="236"/>
  <c r="C13" i="236"/>
  <c r="C12" i="236"/>
  <c r="C11" i="236"/>
  <c r="C10" i="236"/>
  <c r="D9" i="236"/>
  <c r="B9" i="236"/>
  <c r="D8" i="236"/>
  <c r="B8" i="236"/>
  <c r="D7" i="236"/>
  <c r="B7" i="236"/>
  <c r="C16" i="237"/>
  <c r="C14" i="237"/>
  <c r="C13" i="237"/>
  <c r="C12" i="237"/>
  <c r="C11" i="237"/>
  <c r="C10" i="237"/>
  <c r="D9" i="237"/>
  <c r="B9" i="237"/>
  <c r="D8" i="237"/>
  <c r="B8" i="237"/>
  <c r="D7" i="237"/>
  <c r="B7" i="237"/>
  <c r="C16" i="238"/>
  <c r="C14" i="238"/>
  <c r="C13" i="238"/>
  <c r="C12" i="238"/>
  <c r="C11" i="238"/>
  <c r="C10" i="238"/>
  <c r="D9" i="238"/>
  <c r="B9" i="238"/>
  <c r="D8" i="238"/>
  <c r="B8" i="238"/>
  <c r="D7" i="238"/>
  <c r="B7" i="238"/>
  <c r="C16" i="239"/>
  <c r="C14" i="239"/>
  <c r="C13" i="239"/>
  <c r="C12" i="239"/>
  <c r="C11" i="239"/>
  <c r="C10" i="239"/>
  <c r="D9" i="239"/>
  <c r="B9" i="239"/>
  <c r="D8" i="239"/>
  <c r="B8" i="239"/>
  <c r="D7" i="239"/>
  <c r="B7" i="239"/>
  <c r="C16" i="240"/>
  <c r="C14" i="240"/>
  <c r="C13" i="240"/>
  <c r="C12" i="240"/>
  <c r="C11" i="240"/>
  <c r="C10" i="240"/>
  <c r="D9" i="240"/>
  <c r="B9" i="240"/>
  <c r="D8" i="240"/>
  <c r="B8" i="240"/>
  <c r="D7" i="240"/>
  <c r="B7" i="240"/>
  <c r="C16" i="241"/>
  <c r="C14" i="241"/>
  <c r="C13" i="241"/>
  <c r="C12" i="241"/>
  <c r="C11" i="241"/>
  <c r="C10" i="241"/>
  <c r="D9" i="241"/>
  <c r="B9" i="241"/>
  <c r="D8" i="241"/>
  <c r="B8" i="241"/>
  <c r="D7" i="241"/>
  <c r="B7" i="241"/>
  <c r="C16" i="242"/>
  <c r="C14" i="242"/>
  <c r="C13" i="242"/>
  <c r="C12" i="242"/>
  <c r="C11" i="242"/>
  <c r="C10" i="242"/>
  <c r="D9" i="242"/>
  <c r="B9" i="242"/>
  <c r="D8" i="242"/>
  <c r="B8" i="242"/>
  <c r="D7" i="242"/>
  <c r="B7" i="242"/>
  <c r="C16" i="243"/>
  <c r="C14" i="243"/>
  <c r="C13" i="243"/>
  <c r="C12" i="243"/>
  <c r="C11" i="243"/>
  <c r="C10" i="243"/>
  <c r="D9" i="243"/>
  <c r="B9" i="243"/>
  <c r="D8" i="243"/>
  <c r="B8" i="243"/>
  <c r="D7" i="243"/>
  <c r="B7" i="243"/>
  <c r="C16" i="244"/>
  <c r="C14" i="244"/>
  <c r="C13" i="244"/>
  <c r="C12" i="244"/>
  <c r="C11" i="244"/>
  <c r="C10" i="244"/>
  <c r="D9" i="244"/>
  <c r="B9" i="244"/>
  <c r="D8" i="244"/>
  <c r="B8" i="244"/>
  <c r="D7" i="244"/>
  <c r="B7" i="244"/>
  <c r="C16" i="245"/>
  <c r="C15" i="245"/>
  <c r="C14" i="245"/>
  <c r="C13" i="245"/>
  <c r="C12" i="245"/>
  <c r="C11" i="245"/>
  <c r="C10" i="245"/>
  <c r="D9" i="245"/>
  <c r="B9" i="245"/>
  <c r="D8" i="245"/>
  <c r="B8" i="245"/>
  <c r="D7" i="245"/>
  <c r="B7" i="245"/>
  <c r="C16" i="246"/>
  <c r="C14" i="246"/>
  <c r="C13" i="246"/>
  <c r="C12" i="246"/>
  <c r="C11" i="246"/>
  <c r="C10" i="246"/>
  <c r="D9" i="246"/>
  <c r="B9" i="246"/>
  <c r="D8" i="246"/>
  <c r="B8" i="246"/>
  <c r="D7" i="246"/>
  <c r="B7" i="246"/>
  <c r="B9" i="228"/>
  <c r="B8" i="228"/>
  <c r="C16" i="228"/>
  <c r="C14" i="228"/>
  <c r="C13" i="228"/>
  <c r="C12" i="228"/>
  <c r="C11" i="228"/>
  <c r="C10" i="228"/>
  <c r="D9" i="228"/>
  <c r="D8" i="228"/>
  <c r="D7" i="228"/>
  <c r="B7" i="228"/>
  <c r="J6" i="245"/>
  <c r="H9" i="245" s="1"/>
  <c r="Q152" i="132"/>
  <c r="P152" i="132"/>
  <c r="O152" i="132"/>
  <c r="Q142" i="132"/>
  <c r="P142" i="132"/>
  <c r="O142" i="132"/>
  <c r="Q132" i="132"/>
  <c r="P132" i="132"/>
  <c r="O132" i="132"/>
  <c r="Q122" i="132"/>
  <c r="P122" i="132"/>
  <c r="O122" i="132"/>
  <c r="Q112" i="132"/>
  <c r="P112" i="132"/>
  <c r="O112" i="132"/>
  <c r="C57" i="132"/>
  <c r="H9" i="132"/>
  <c r="H10" i="132"/>
  <c r="H11" i="132"/>
  <c r="H12" i="132"/>
  <c r="H13" i="132"/>
  <c r="H14" i="132"/>
  <c r="H15" i="132"/>
  <c r="H16" i="132"/>
  <c r="H17" i="132"/>
  <c r="H18" i="132"/>
  <c r="H19" i="132"/>
  <c r="H20" i="132"/>
  <c r="H21" i="132"/>
  <c r="H22" i="132"/>
  <c r="H23" i="132"/>
  <c r="H24" i="132"/>
  <c r="H25" i="132"/>
  <c r="H26" i="132"/>
  <c r="H8" i="132"/>
  <c r="I8" i="245" l="1"/>
  <c r="H80" i="247"/>
  <c r="G28" i="249" l="1"/>
  <c r="H38" i="132"/>
  <c r="H80" i="237" l="1"/>
  <c r="H82" i="237" s="1"/>
  <c r="H80" i="238"/>
  <c r="H82" i="238" s="1"/>
  <c r="H80" i="245"/>
  <c r="H81" i="245" s="1"/>
  <c r="H80" i="244"/>
  <c r="H81" i="244" s="1"/>
  <c r="H80" i="243"/>
  <c r="H82" i="243" s="1"/>
  <c r="H80" i="242"/>
  <c r="I80" i="242" s="1"/>
  <c r="H80" i="241"/>
  <c r="H82" i="241" s="1"/>
  <c r="H80" i="240"/>
  <c r="H82" i="240" s="1"/>
  <c r="H80" i="239"/>
  <c r="H81" i="239" s="1"/>
  <c r="H80" i="236"/>
  <c r="I80" i="236" s="1"/>
  <c r="H80" i="235"/>
  <c r="I80" i="235" s="1"/>
  <c r="H80" i="251"/>
  <c r="I80" i="251" s="1"/>
  <c r="H80" i="250"/>
  <c r="I80" i="250" s="1"/>
  <c r="H80" i="249"/>
  <c r="I80" i="249" s="1"/>
  <c r="H80" i="248"/>
  <c r="I80" i="248" s="1"/>
  <c r="I80" i="247"/>
  <c r="H80" i="246"/>
  <c r="I80" i="246" s="1"/>
  <c r="H80" i="228"/>
  <c r="I80" i="228" s="1"/>
  <c r="H82" i="239"/>
  <c r="H81" i="240" l="1"/>
  <c r="H82" i="245"/>
  <c r="I80" i="240"/>
  <c r="I82" i="240" s="1"/>
  <c r="H81" i="242"/>
  <c r="H82" i="242"/>
  <c r="H81" i="241"/>
  <c r="I80" i="239"/>
  <c r="I80" i="243"/>
  <c r="I82" i="243" s="1"/>
  <c r="H81" i="243"/>
  <c r="I81" i="242"/>
  <c r="I82" i="242"/>
  <c r="I80" i="241"/>
  <c r="I80" i="245"/>
  <c r="I82" i="245" s="1"/>
  <c r="H82" i="244"/>
  <c r="I80" i="244"/>
  <c r="H81" i="237"/>
  <c r="I80" i="237"/>
  <c r="H81" i="238"/>
  <c r="I80" i="238"/>
  <c r="I81" i="240" l="1"/>
  <c r="I81" i="243"/>
  <c r="I81" i="245"/>
  <c r="I81" i="239"/>
  <c r="I82" i="239"/>
  <c r="I81" i="241"/>
  <c r="I82" i="241"/>
  <c r="I81" i="244"/>
  <c r="I82" i="244"/>
  <c r="I82" i="237"/>
  <c r="I81" i="237"/>
  <c r="I82" i="238"/>
  <c r="I81" i="238"/>
  <c r="I82" i="236" l="1"/>
  <c r="H82" i="236"/>
  <c r="I81" i="236"/>
  <c r="H81" i="236"/>
  <c r="I82" i="251"/>
  <c r="H82" i="251"/>
  <c r="I81" i="251"/>
  <c r="H81" i="251"/>
  <c r="F59" i="251"/>
  <c r="E49" i="251"/>
  <c r="D49" i="251"/>
  <c r="C49" i="251"/>
  <c r="D41" i="251"/>
  <c r="C41" i="251"/>
  <c r="D40" i="251"/>
  <c r="C40" i="251"/>
  <c r="G28" i="251"/>
  <c r="J15" i="251"/>
  <c r="G15" i="251"/>
  <c r="C67" i="251" s="1"/>
  <c r="I14" i="251"/>
  <c r="G14" i="251"/>
  <c r="C65" i="251"/>
  <c r="C61" i="251"/>
  <c r="C74" i="251"/>
  <c r="C75" i="251" s="1"/>
  <c r="B74" i="251"/>
  <c r="H9" i="251"/>
  <c r="I8" i="251"/>
  <c r="F4" i="251"/>
  <c r="I82" i="250"/>
  <c r="H82" i="250"/>
  <c r="I81" i="250"/>
  <c r="H81" i="250"/>
  <c r="F59" i="250"/>
  <c r="E49" i="250"/>
  <c r="D49" i="250"/>
  <c r="C49" i="250"/>
  <c r="D41" i="250"/>
  <c r="C41" i="250"/>
  <c r="D40" i="250"/>
  <c r="C40" i="250"/>
  <c r="G28" i="250"/>
  <c r="J15" i="250"/>
  <c r="G15" i="250"/>
  <c r="C67" i="250" s="1"/>
  <c r="I14" i="250"/>
  <c r="G14" i="250"/>
  <c r="C65" i="250"/>
  <c r="C61" i="250"/>
  <c r="C74" i="250"/>
  <c r="C75" i="250" s="1"/>
  <c r="B74" i="250"/>
  <c r="H9" i="250"/>
  <c r="I8" i="250"/>
  <c r="F4" i="250"/>
  <c r="I82" i="249"/>
  <c r="H82" i="249"/>
  <c r="I81" i="249"/>
  <c r="H81" i="249"/>
  <c r="F59" i="249"/>
  <c r="E49" i="249"/>
  <c r="D49" i="249"/>
  <c r="C49" i="249"/>
  <c r="D41" i="249"/>
  <c r="C41" i="249"/>
  <c r="D40" i="249"/>
  <c r="C40" i="249"/>
  <c r="J15" i="249"/>
  <c r="G15" i="249"/>
  <c r="C67" i="249" s="1"/>
  <c r="I14" i="249"/>
  <c r="G14" i="249"/>
  <c r="C65" i="249"/>
  <c r="C61" i="249"/>
  <c r="C74" i="249"/>
  <c r="C75" i="249" s="1"/>
  <c r="B74" i="249"/>
  <c r="H9" i="249"/>
  <c r="I8" i="249"/>
  <c r="F4" i="249"/>
  <c r="I82" i="248"/>
  <c r="H82" i="248"/>
  <c r="I81" i="248"/>
  <c r="H81" i="248"/>
  <c r="F59" i="248"/>
  <c r="E49" i="248"/>
  <c r="D49" i="248"/>
  <c r="C49" i="248"/>
  <c r="D41" i="248"/>
  <c r="C41" i="248"/>
  <c r="D40" i="248"/>
  <c r="C40" i="248"/>
  <c r="G28" i="248"/>
  <c r="J15" i="248"/>
  <c r="G15" i="248"/>
  <c r="C67" i="248" s="1"/>
  <c r="I14" i="248"/>
  <c r="G14" i="248"/>
  <c r="C65" i="248"/>
  <c r="C61" i="248"/>
  <c r="C74" i="248"/>
  <c r="C75" i="248" s="1"/>
  <c r="B74" i="248"/>
  <c r="H9" i="248"/>
  <c r="I8" i="248"/>
  <c r="F4" i="248"/>
  <c r="I82" i="247"/>
  <c r="H82" i="247"/>
  <c r="I81" i="247"/>
  <c r="H81" i="247"/>
  <c r="F59" i="247"/>
  <c r="E49" i="247"/>
  <c r="D49" i="247"/>
  <c r="C49" i="247"/>
  <c r="D41" i="247"/>
  <c r="C41" i="247"/>
  <c r="D40" i="247"/>
  <c r="C40" i="247"/>
  <c r="G28" i="247"/>
  <c r="J15" i="247"/>
  <c r="G15" i="247"/>
  <c r="C67" i="247" s="1"/>
  <c r="I14" i="247"/>
  <c r="G14" i="247"/>
  <c r="C65" i="247"/>
  <c r="C61" i="247"/>
  <c r="C74" i="247"/>
  <c r="C75" i="247" s="1"/>
  <c r="B74" i="247"/>
  <c r="H9" i="247"/>
  <c r="I8" i="247"/>
  <c r="F4" i="247"/>
  <c r="I82" i="246"/>
  <c r="H82" i="246"/>
  <c r="I81" i="246"/>
  <c r="H81" i="246"/>
  <c r="F59" i="246"/>
  <c r="E49" i="246"/>
  <c r="D49" i="246"/>
  <c r="C49" i="246"/>
  <c r="D41" i="246"/>
  <c r="C41" i="246"/>
  <c r="D40" i="246"/>
  <c r="C40" i="246"/>
  <c r="G28" i="246"/>
  <c r="J15" i="246"/>
  <c r="G15" i="246"/>
  <c r="C67" i="246" s="1"/>
  <c r="I14" i="246"/>
  <c r="G14" i="246"/>
  <c r="C65" i="246"/>
  <c r="C61" i="246"/>
  <c r="C74" i="246"/>
  <c r="C75" i="246" s="1"/>
  <c r="H10" i="246"/>
  <c r="B74" i="246"/>
  <c r="H9" i="246"/>
  <c r="I8" i="246"/>
  <c r="F4" i="246"/>
  <c r="I82" i="201"/>
  <c r="H82" i="201"/>
  <c r="I81" i="201"/>
  <c r="H81" i="201"/>
  <c r="I82" i="235"/>
  <c r="H82" i="235"/>
  <c r="I81" i="235"/>
  <c r="H81" i="235"/>
  <c r="I82" i="228"/>
  <c r="I81" i="228"/>
  <c r="H82" i="228"/>
  <c r="H81" i="228"/>
  <c r="D42" i="251" l="1"/>
  <c r="D42" i="248"/>
  <c r="C42" i="247"/>
  <c r="D42" i="246"/>
  <c r="D42" i="249"/>
  <c r="D42" i="247"/>
  <c r="C42" i="251"/>
  <c r="C60" i="246"/>
  <c r="C42" i="250"/>
  <c r="D42" i="250"/>
  <c r="C42" i="249"/>
  <c r="C42" i="248"/>
  <c r="C44" i="248" s="1"/>
  <c r="C59" i="248" s="1"/>
  <c r="C42" i="246"/>
  <c r="B75" i="251"/>
  <c r="D54" i="251"/>
  <c r="C60" i="251"/>
  <c r="B75" i="250"/>
  <c r="D54" i="250"/>
  <c r="C60" i="250"/>
  <c r="B75" i="249"/>
  <c r="D54" i="249"/>
  <c r="C60" i="249"/>
  <c r="B75" i="248"/>
  <c r="D54" i="248"/>
  <c r="C60" i="248"/>
  <c r="B75" i="247"/>
  <c r="D54" i="247"/>
  <c r="C60" i="247"/>
  <c r="B75" i="246"/>
  <c r="D54" i="246"/>
  <c r="F59" i="245"/>
  <c r="E49" i="245"/>
  <c r="D49" i="245"/>
  <c r="C49" i="245"/>
  <c r="D41" i="245"/>
  <c r="C41" i="245"/>
  <c r="D40" i="245"/>
  <c r="C40" i="245"/>
  <c r="G28" i="245"/>
  <c r="J15" i="245"/>
  <c r="G15" i="245"/>
  <c r="C67" i="245" s="1"/>
  <c r="I14" i="245"/>
  <c r="G14" i="245"/>
  <c r="C65" i="245"/>
  <c r="C60" i="245"/>
  <c r="C74" i="245"/>
  <c r="C75" i="245" s="1"/>
  <c r="F4" i="245"/>
  <c r="F59" i="244"/>
  <c r="E49" i="244"/>
  <c r="D49" i="244"/>
  <c r="C49" i="244"/>
  <c r="D41" i="244"/>
  <c r="C41" i="244"/>
  <c r="D40" i="244"/>
  <c r="C40" i="244"/>
  <c r="G28" i="244"/>
  <c r="J15" i="244"/>
  <c r="G15" i="244"/>
  <c r="C67" i="244" s="1"/>
  <c r="I14" i="244"/>
  <c r="G14" i="244"/>
  <c r="C65" i="244"/>
  <c r="C60" i="244"/>
  <c r="C74" i="244"/>
  <c r="C75" i="244" s="1"/>
  <c r="H9" i="244"/>
  <c r="I8" i="244"/>
  <c r="F4" i="244"/>
  <c r="F59" i="243"/>
  <c r="E49" i="243"/>
  <c r="D49" i="243"/>
  <c r="C49" i="243"/>
  <c r="D41" i="243"/>
  <c r="C41" i="243"/>
  <c r="D40" i="243"/>
  <c r="C40" i="243"/>
  <c r="G28" i="243"/>
  <c r="J15" i="243"/>
  <c r="G15" i="243"/>
  <c r="C67" i="243" s="1"/>
  <c r="I14" i="243"/>
  <c r="G14" i="243"/>
  <c r="C65" i="243"/>
  <c r="C60" i="243"/>
  <c r="C74" i="243"/>
  <c r="C75" i="243" s="1"/>
  <c r="H9" i="243"/>
  <c r="I8" i="243"/>
  <c r="F4" i="243"/>
  <c r="F59" i="242"/>
  <c r="E49" i="242"/>
  <c r="D49" i="242"/>
  <c r="C49" i="242"/>
  <c r="D41" i="242"/>
  <c r="C41" i="242"/>
  <c r="D40" i="242"/>
  <c r="C40" i="242"/>
  <c r="G28" i="242"/>
  <c r="J15" i="242"/>
  <c r="G15" i="242"/>
  <c r="C67" i="242" s="1"/>
  <c r="I14" i="242"/>
  <c r="G14" i="242"/>
  <c r="C65" i="242"/>
  <c r="C60" i="242"/>
  <c r="C74" i="242"/>
  <c r="C75" i="242" s="1"/>
  <c r="H9" i="242"/>
  <c r="I8" i="242"/>
  <c r="F4" i="242"/>
  <c r="F59" i="241"/>
  <c r="E49" i="241"/>
  <c r="D49" i="241"/>
  <c r="C49" i="241"/>
  <c r="D41" i="241"/>
  <c r="C41" i="241"/>
  <c r="D40" i="241"/>
  <c r="C40" i="241"/>
  <c r="G28" i="241"/>
  <c r="J15" i="241"/>
  <c r="G15" i="241"/>
  <c r="C67" i="241" s="1"/>
  <c r="I14" i="241"/>
  <c r="G14" i="241"/>
  <c r="C65" i="241"/>
  <c r="C60" i="241"/>
  <c r="C74" i="241"/>
  <c r="C75" i="241" s="1"/>
  <c r="H9" i="241"/>
  <c r="I8" i="241"/>
  <c r="F4" i="241"/>
  <c r="F59" i="240"/>
  <c r="E49" i="240"/>
  <c r="D49" i="240"/>
  <c r="C49" i="240"/>
  <c r="D41" i="240"/>
  <c r="C41" i="240"/>
  <c r="D40" i="240"/>
  <c r="C40" i="240"/>
  <c r="G28" i="240"/>
  <c r="J15" i="240"/>
  <c r="G15" i="240"/>
  <c r="C67" i="240" s="1"/>
  <c r="I14" i="240"/>
  <c r="G14" i="240"/>
  <c r="C65" i="240"/>
  <c r="C60" i="240"/>
  <c r="C74" i="240"/>
  <c r="C75" i="240" s="1"/>
  <c r="B74" i="240"/>
  <c r="H9" i="240"/>
  <c r="I8" i="240"/>
  <c r="F4" i="240"/>
  <c r="F59" i="239"/>
  <c r="E49" i="239"/>
  <c r="D49" i="239"/>
  <c r="C49" i="239"/>
  <c r="D41" i="239"/>
  <c r="C41" i="239"/>
  <c r="D40" i="239"/>
  <c r="C40" i="239"/>
  <c r="G28" i="239"/>
  <c r="J15" i="239"/>
  <c r="G15" i="239"/>
  <c r="C67" i="239" s="1"/>
  <c r="I14" i="239"/>
  <c r="G14" i="239"/>
  <c r="C65" i="239"/>
  <c r="C60" i="239"/>
  <c r="C74" i="239"/>
  <c r="C75" i="239" s="1"/>
  <c r="H9" i="239"/>
  <c r="I8" i="239"/>
  <c r="F4" i="239"/>
  <c r="F59" i="238"/>
  <c r="E49" i="238"/>
  <c r="D49" i="238"/>
  <c r="C49" i="238"/>
  <c r="D41" i="238"/>
  <c r="C41" i="238"/>
  <c r="D40" i="238"/>
  <c r="C40" i="238"/>
  <c r="G28" i="238"/>
  <c r="J15" i="238"/>
  <c r="G15" i="238"/>
  <c r="C67" i="238" s="1"/>
  <c r="I14" i="238"/>
  <c r="G14" i="238"/>
  <c r="C65" i="238"/>
  <c r="C60" i="238"/>
  <c r="C74" i="238"/>
  <c r="C75" i="238" s="1"/>
  <c r="H9" i="238"/>
  <c r="I8" i="238"/>
  <c r="F4" i="238"/>
  <c r="F59" i="237"/>
  <c r="E49" i="237"/>
  <c r="D49" i="237"/>
  <c r="C49" i="237"/>
  <c r="D41" i="237"/>
  <c r="C41" i="237"/>
  <c r="D40" i="237"/>
  <c r="C40" i="237"/>
  <c r="G28" i="237"/>
  <c r="J15" i="237"/>
  <c r="G15" i="237"/>
  <c r="C67" i="237" s="1"/>
  <c r="I14" i="237"/>
  <c r="G14" i="237"/>
  <c r="C65" i="237"/>
  <c r="C60" i="237"/>
  <c r="C74" i="237"/>
  <c r="C75" i="237" s="1"/>
  <c r="H9" i="237"/>
  <c r="I8" i="237"/>
  <c r="F4" i="237"/>
  <c r="F59" i="236"/>
  <c r="E49" i="236"/>
  <c r="D49" i="236"/>
  <c r="C49" i="236"/>
  <c r="D41" i="236"/>
  <c r="C41" i="236"/>
  <c r="D40" i="236"/>
  <c r="C40" i="236"/>
  <c r="G28" i="236"/>
  <c r="J15" i="236"/>
  <c r="G15" i="236"/>
  <c r="C67" i="236" s="1"/>
  <c r="I14" i="236"/>
  <c r="G14" i="236"/>
  <c r="C65" i="236"/>
  <c r="C60" i="236"/>
  <c r="C74" i="236"/>
  <c r="C75" i="236" s="1"/>
  <c r="H9" i="236"/>
  <c r="I8" i="236"/>
  <c r="F4" i="236"/>
  <c r="F59" i="235"/>
  <c r="E49" i="235"/>
  <c r="D49" i="235"/>
  <c r="C49" i="235"/>
  <c r="D41" i="235"/>
  <c r="C41" i="235"/>
  <c r="D40" i="235"/>
  <c r="C40" i="235"/>
  <c r="G28" i="235"/>
  <c r="J15" i="235"/>
  <c r="G15" i="235"/>
  <c r="C67" i="235" s="1"/>
  <c r="I14" i="235"/>
  <c r="G14" i="235"/>
  <c r="C65" i="235"/>
  <c r="C60" i="235"/>
  <c r="C74" i="235"/>
  <c r="C75" i="235" s="1"/>
  <c r="H9" i="235"/>
  <c r="I8" i="235"/>
  <c r="F4" i="235"/>
  <c r="F59" i="228"/>
  <c r="E49" i="228"/>
  <c r="D49" i="228"/>
  <c r="C49" i="228"/>
  <c r="D41" i="228"/>
  <c r="C41" i="228"/>
  <c r="D40" i="228"/>
  <c r="C40" i="228"/>
  <c r="G28" i="228"/>
  <c r="J15" i="228"/>
  <c r="G15" i="228"/>
  <c r="C67" i="228" s="1"/>
  <c r="I14" i="228"/>
  <c r="G14" i="228"/>
  <c r="C65" i="228"/>
  <c r="C60" i="228"/>
  <c r="H11" i="228"/>
  <c r="C64" i="228" s="1"/>
  <c r="C74" i="228"/>
  <c r="C75" i="228" s="1"/>
  <c r="H10" i="228"/>
  <c r="H9" i="228"/>
  <c r="I8" i="228"/>
  <c r="G8" i="228"/>
  <c r="I7" i="228"/>
  <c r="G7" i="228"/>
  <c r="F4" i="228"/>
  <c r="E4" i="228"/>
  <c r="D4" i="228"/>
  <c r="C4" i="228"/>
  <c r="B4" i="228"/>
  <c r="A4" i="228"/>
  <c r="F4" i="201"/>
  <c r="E4" i="201"/>
  <c r="D4" i="201"/>
  <c r="C4" i="201"/>
  <c r="C62" i="247" l="1"/>
  <c r="C62" i="250"/>
  <c r="C62" i="246"/>
  <c r="C62" i="249"/>
  <c r="C62" i="251"/>
  <c r="C62" i="248"/>
  <c r="C43" i="247"/>
  <c r="B54" i="247" s="1"/>
  <c r="C42" i="236"/>
  <c r="C43" i="251"/>
  <c r="B54" i="251" s="1"/>
  <c r="C44" i="247"/>
  <c r="C59" i="247" s="1"/>
  <c r="C42" i="244"/>
  <c r="C44" i="246"/>
  <c r="C59" i="246" s="1"/>
  <c r="C43" i="250"/>
  <c r="B54" i="250" s="1"/>
  <c r="C44" i="249"/>
  <c r="C59" i="249" s="1"/>
  <c r="C42" i="242"/>
  <c r="C44" i="251"/>
  <c r="C59" i="251" s="1"/>
  <c r="C44" i="250"/>
  <c r="C59" i="250" s="1"/>
  <c r="D54" i="228"/>
  <c r="D54" i="242"/>
  <c r="D54" i="244"/>
  <c r="D42" i="244"/>
  <c r="D42" i="240"/>
  <c r="D54" i="239"/>
  <c r="D42" i="238"/>
  <c r="D54" i="238"/>
  <c r="D42" i="237"/>
  <c r="D42" i="236"/>
  <c r="D54" i="236"/>
  <c r="C43" i="246"/>
  <c r="B54" i="246" s="1"/>
  <c r="C42" i="238"/>
  <c r="C43" i="249"/>
  <c r="B54" i="249" s="1"/>
  <c r="C43" i="248"/>
  <c r="B54" i="248" s="1"/>
  <c r="D54" i="245"/>
  <c r="C42" i="243"/>
  <c r="D42" i="243"/>
  <c r="D54" i="243"/>
  <c r="C42" i="241"/>
  <c r="D54" i="241"/>
  <c r="C42" i="239"/>
  <c r="C42" i="237"/>
  <c r="D42" i="228"/>
  <c r="C42" i="228"/>
  <c r="D42" i="239"/>
  <c r="C42" i="240"/>
  <c r="D42" i="241"/>
  <c r="D42" i="242"/>
  <c r="C42" i="245"/>
  <c r="D42" i="245"/>
  <c r="D54" i="237"/>
  <c r="C42" i="235"/>
  <c r="D42" i="235"/>
  <c r="D54" i="235"/>
  <c r="C61" i="245"/>
  <c r="C62" i="245" s="1"/>
  <c r="B74" i="245"/>
  <c r="C61" i="244"/>
  <c r="C62" i="244" s="1"/>
  <c r="B74" i="244"/>
  <c r="B74" i="243"/>
  <c r="C61" i="243"/>
  <c r="C62" i="243" s="1"/>
  <c r="C61" i="242"/>
  <c r="C62" i="242" s="1"/>
  <c r="B74" i="242"/>
  <c r="C61" i="241"/>
  <c r="C62" i="241" s="1"/>
  <c r="B74" i="241"/>
  <c r="B75" i="240"/>
  <c r="D54" i="240"/>
  <c r="C61" i="240"/>
  <c r="C62" i="240" s="1"/>
  <c r="B74" i="239"/>
  <c r="C61" i="239"/>
  <c r="C62" i="239" s="1"/>
  <c r="C61" i="238"/>
  <c r="C62" i="238" s="1"/>
  <c r="B74" i="238"/>
  <c r="B74" i="237"/>
  <c r="C61" i="237"/>
  <c r="C62" i="237" s="1"/>
  <c r="C61" i="236"/>
  <c r="C62" i="236" s="1"/>
  <c r="B74" i="236"/>
  <c r="B74" i="235"/>
  <c r="C61" i="235"/>
  <c r="C62" i="235" s="1"/>
  <c r="C61" i="228"/>
  <c r="C62" i="228" s="1"/>
  <c r="B74" i="228"/>
  <c r="C24" i="132"/>
  <c r="D24" i="132"/>
  <c r="E24" i="132"/>
  <c r="F24" i="132"/>
  <c r="G24" i="132"/>
  <c r="C25" i="132"/>
  <c r="D25" i="132"/>
  <c r="E25" i="132"/>
  <c r="F25" i="132"/>
  <c r="G25" i="132"/>
  <c r="C26" i="132"/>
  <c r="A4" i="245" s="1"/>
  <c r="D26" i="132"/>
  <c r="B4" i="245" s="1"/>
  <c r="E26" i="132"/>
  <c r="F26" i="132"/>
  <c r="G26" i="132"/>
  <c r="E4" i="245" s="1"/>
  <c r="H54" i="132"/>
  <c r="H10" i="245" s="1"/>
  <c r="I54" i="132"/>
  <c r="H11" i="245" s="1"/>
  <c r="C64" i="245" s="1"/>
  <c r="C54" i="132"/>
  <c r="G7" i="245" s="1"/>
  <c r="D54" i="132"/>
  <c r="I7" i="245" s="1"/>
  <c r="E54" i="132"/>
  <c r="G8" i="245" s="1"/>
  <c r="C4" i="245" l="1"/>
  <c r="C44" i="244"/>
  <c r="C59" i="244" s="1"/>
  <c r="C43" i="244"/>
  <c r="B54" i="244" s="1"/>
  <c r="C44" i="242"/>
  <c r="C59" i="242" s="1"/>
  <c r="C43" i="236"/>
  <c r="B54" i="236" s="1"/>
  <c r="C44" i="236"/>
  <c r="C59" i="236" s="1"/>
  <c r="C43" i="242"/>
  <c r="B54" i="242" s="1"/>
  <c r="C43" i="240"/>
  <c r="B54" i="240" s="1"/>
  <c r="C43" i="237"/>
  <c r="B54" i="237" s="1"/>
  <c r="C44" i="243"/>
  <c r="C59" i="243" s="1"/>
  <c r="C43" i="238"/>
  <c r="B54" i="238" s="1"/>
  <c r="C44" i="237"/>
  <c r="C59" i="237" s="1"/>
  <c r="D4" i="245"/>
  <c r="C44" i="228"/>
  <c r="C59" i="228" s="1"/>
  <c r="C43" i="228"/>
  <c r="B54" i="228" s="1"/>
  <c r="C44" i="238"/>
  <c r="C59" i="238" s="1"/>
  <c r="C43" i="243"/>
  <c r="B54" i="243" s="1"/>
  <c r="C44" i="241"/>
  <c r="C59" i="241" s="1"/>
  <c r="C43" i="239"/>
  <c r="B54" i="239" s="1"/>
  <c r="C44" i="235"/>
  <c r="C59" i="235" s="1"/>
  <c r="C43" i="241"/>
  <c r="B54" i="241" s="1"/>
  <c r="C44" i="240"/>
  <c r="C59" i="240" s="1"/>
  <c r="C44" i="239"/>
  <c r="C59" i="239" s="1"/>
  <c r="C43" i="245"/>
  <c r="B54" i="245" s="1"/>
  <c r="C44" i="245"/>
  <c r="C59" i="245" s="1"/>
  <c r="C43" i="235"/>
  <c r="B54" i="235" s="1"/>
  <c r="B75" i="245"/>
  <c r="B75" i="244"/>
  <c r="B75" i="243"/>
  <c r="B75" i="242"/>
  <c r="B75" i="241"/>
  <c r="B75" i="239"/>
  <c r="B75" i="238"/>
  <c r="B75" i="237"/>
  <c r="B75" i="236"/>
  <c r="B75" i="235"/>
  <c r="B75" i="228"/>
  <c r="J54" i="132" l="1"/>
  <c r="N168" i="132" l="1"/>
  <c r="H11" i="201" l="1"/>
  <c r="D53" i="132" l="1"/>
  <c r="I7" i="244" s="1"/>
  <c r="E53" i="132"/>
  <c r="G8" i="244" s="1"/>
  <c r="C53" i="132"/>
  <c r="G7" i="244" s="1"/>
  <c r="Z29" i="132" l="1"/>
  <c r="Z28" i="132"/>
  <c r="F59" i="201" l="1"/>
  <c r="E49" i="201"/>
  <c r="D49" i="201"/>
  <c r="C49" i="201"/>
  <c r="D41" i="201"/>
  <c r="C41" i="201"/>
  <c r="D40" i="201"/>
  <c r="C40" i="201"/>
  <c r="G28" i="201"/>
  <c r="J15" i="201"/>
  <c r="G15" i="201"/>
  <c r="C67" i="201" s="1"/>
  <c r="I14" i="201"/>
  <c r="G14" i="201"/>
  <c r="C65" i="201"/>
  <c r="C61" i="201"/>
  <c r="C64" i="201"/>
  <c r="C74" i="201"/>
  <c r="C75" i="201" s="1"/>
  <c r="H10" i="201"/>
  <c r="H9" i="201"/>
  <c r="I8" i="201"/>
  <c r="G8" i="201"/>
  <c r="I7" i="201"/>
  <c r="G7" i="201"/>
  <c r="D42" i="201" l="1"/>
  <c r="C42" i="201"/>
  <c r="D54" i="201"/>
  <c r="C60" i="201"/>
  <c r="C62" i="201" s="1"/>
  <c r="B74" i="201"/>
  <c r="C43" i="201" l="1"/>
  <c r="B54" i="201" s="1"/>
  <c r="C44" i="201"/>
  <c r="C59" i="201" s="1"/>
  <c r="B75" i="201"/>
  <c r="J40" i="132" l="1"/>
  <c r="I39" i="132"/>
  <c r="H11" i="247" s="1"/>
  <c r="C64" i="247" s="1"/>
  <c r="I40" i="132"/>
  <c r="H11" i="248" s="1"/>
  <c r="C64" i="248" s="1"/>
  <c r="I41" i="132"/>
  <c r="H11" i="249" s="1"/>
  <c r="C64" i="249" s="1"/>
  <c r="I42" i="132"/>
  <c r="H11" i="250" s="1"/>
  <c r="C64" i="250" s="1"/>
  <c r="I43" i="132"/>
  <c r="H11" i="251" s="1"/>
  <c r="C64" i="251" s="1"/>
  <c r="I44" i="132"/>
  <c r="H11" i="235" s="1"/>
  <c r="C64" i="235" s="1"/>
  <c r="I45" i="132"/>
  <c r="H11" i="236" s="1"/>
  <c r="C64" i="236" s="1"/>
  <c r="I46" i="132"/>
  <c r="H11" i="237" s="1"/>
  <c r="C64" i="237" s="1"/>
  <c r="I47" i="132"/>
  <c r="H11" i="238" s="1"/>
  <c r="C64" i="238" s="1"/>
  <c r="I48" i="132"/>
  <c r="H11" i="239" s="1"/>
  <c r="C64" i="239" s="1"/>
  <c r="I49" i="132"/>
  <c r="H11" i="240" s="1"/>
  <c r="C64" i="240" s="1"/>
  <c r="I50" i="132"/>
  <c r="H11" i="241" s="1"/>
  <c r="C64" i="241" s="1"/>
  <c r="I51" i="132"/>
  <c r="H11" i="242" s="1"/>
  <c r="C64" i="242" s="1"/>
  <c r="I52" i="132"/>
  <c r="H11" i="243" s="1"/>
  <c r="C64" i="243" s="1"/>
  <c r="I53" i="132"/>
  <c r="H11" i="244" s="1"/>
  <c r="C64" i="244" s="1"/>
  <c r="I38" i="132"/>
  <c r="H11" i="246" s="1"/>
  <c r="C64" i="246" s="1"/>
  <c r="H39" i="132"/>
  <c r="H10" i="247" s="1"/>
  <c r="H40" i="132"/>
  <c r="H10" i="248" s="1"/>
  <c r="H41" i="132"/>
  <c r="H10" i="249" s="1"/>
  <c r="H42" i="132"/>
  <c r="H10" i="250" s="1"/>
  <c r="H43" i="132"/>
  <c r="H10" i="251" s="1"/>
  <c r="H44" i="132"/>
  <c r="H10" i="235" s="1"/>
  <c r="H45" i="132"/>
  <c r="H10" i="236" s="1"/>
  <c r="H46" i="132"/>
  <c r="H10" i="237" s="1"/>
  <c r="H47" i="132"/>
  <c r="H10" i="238" s="1"/>
  <c r="H48" i="132"/>
  <c r="H10" i="239" s="1"/>
  <c r="H49" i="132"/>
  <c r="H10" i="240" s="1"/>
  <c r="H50" i="132"/>
  <c r="H10" i="241" s="1"/>
  <c r="H51" i="132"/>
  <c r="H10" i="242" s="1"/>
  <c r="H52" i="132"/>
  <c r="H10" i="243" s="1"/>
  <c r="H53" i="132"/>
  <c r="H10" i="244" s="1"/>
  <c r="D8" i="132"/>
  <c r="B4" i="246" s="1"/>
  <c r="J50" i="132" l="1"/>
  <c r="J42" i="132"/>
  <c r="J38" i="132"/>
  <c r="J53" i="132"/>
  <c r="J49" i="132"/>
  <c r="J45" i="132"/>
  <c r="J41" i="132"/>
  <c r="J51" i="132"/>
  <c r="J47" i="132"/>
  <c r="J43" i="132"/>
  <c r="J46" i="132"/>
  <c r="J52" i="132"/>
  <c r="J48" i="132"/>
  <c r="J44" i="132"/>
  <c r="J39" i="132"/>
  <c r="G8" i="132" l="1"/>
  <c r="E4" i="246" s="1"/>
  <c r="G9" i="132"/>
  <c r="E4" i="247" s="1"/>
  <c r="G10" i="132"/>
  <c r="E4" i="248" s="1"/>
  <c r="G11" i="132"/>
  <c r="E4" i="249" s="1"/>
  <c r="G12" i="132"/>
  <c r="G13" i="132"/>
  <c r="E4" i="251" s="1"/>
  <c r="G14" i="132"/>
  <c r="E4" i="235" s="1"/>
  <c r="G15" i="132"/>
  <c r="E4" i="236" s="1"/>
  <c r="G16" i="132"/>
  <c r="E4" i="237" s="1"/>
  <c r="G17" i="132"/>
  <c r="E4" i="238" s="1"/>
  <c r="G18" i="132"/>
  <c r="E4" i="239" s="1"/>
  <c r="G19" i="132"/>
  <c r="E4" i="240" s="1"/>
  <c r="G20" i="132"/>
  <c r="E4" i="241" s="1"/>
  <c r="G21" i="132"/>
  <c r="E4" i="242" s="1"/>
  <c r="G22" i="132"/>
  <c r="E4" i="243" s="1"/>
  <c r="G23" i="132"/>
  <c r="E4" i="244" s="1"/>
  <c r="E4" i="250" l="1"/>
  <c r="W168" i="132"/>
  <c r="W167" i="132"/>
  <c r="W166" i="132"/>
  <c r="W165" i="132"/>
  <c r="W164" i="132"/>
  <c r="V168" i="132"/>
  <c r="V167" i="132"/>
  <c r="V166" i="132"/>
  <c r="V165" i="132"/>
  <c r="T165" i="132"/>
  <c r="V164" i="132"/>
  <c r="U168" i="132"/>
  <c r="U167" i="132"/>
  <c r="U166" i="132"/>
  <c r="U165" i="132"/>
  <c r="U164" i="132"/>
  <c r="T168" i="132"/>
  <c r="T167" i="132"/>
  <c r="T166" i="132"/>
  <c r="T164" i="132"/>
  <c r="S168" i="132"/>
  <c r="R168" i="132"/>
  <c r="S167" i="132"/>
  <c r="R167" i="132"/>
  <c r="S166" i="132"/>
  <c r="R166" i="132"/>
  <c r="R165" i="132"/>
  <c r="S165" i="132"/>
  <c r="S164" i="132"/>
  <c r="R164" i="132"/>
  <c r="N162" i="132"/>
  <c r="M162" i="132"/>
  <c r="L162" i="132"/>
  <c r="K162" i="132"/>
  <c r="N166" i="132"/>
  <c r="M166" i="132"/>
  <c r="N165" i="132"/>
  <c r="M165" i="132"/>
  <c r="M168" i="132"/>
  <c r="N167" i="132"/>
  <c r="M167" i="132"/>
  <c r="N164" i="132"/>
  <c r="M164" i="132"/>
  <c r="L164" i="132"/>
  <c r="L167" i="132"/>
  <c r="L168" i="132"/>
  <c r="L165" i="132"/>
  <c r="L166" i="132"/>
  <c r="K166" i="132"/>
  <c r="K165" i="132"/>
  <c r="K168" i="132"/>
  <c r="K167" i="132"/>
  <c r="K164" i="132"/>
  <c r="J164" i="132"/>
  <c r="J167" i="132"/>
  <c r="J168" i="132"/>
  <c r="J165" i="132"/>
  <c r="J166" i="132"/>
  <c r="I19" i="249" l="1"/>
  <c r="I19" i="248"/>
  <c r="I19" i="247"/>
  <c r="I19" i="246"/>
  <c r="I19" i="251"/>
  <c r="I19" i="250"/>
  <c r="F19" i="249"/>
  <c r="F19" i="248"/>
  <c r="F19" i="247"/>
  <c r="F19" i="246"/>
  <c r="F19" i="251"/>
  <c r="F19" i="250"/>
  <c r="D19" i="249"/>
  <c r="D19" i="248"/>
  <c r="D19" i="247"/>
  <c r="D19" i="246"/>
  <c r="D19" i="251"/>
  <c r="D19" i="250"/>
  <c r="B19" i="249"/>
  <c r="B19" i="248"/>
  <c r="B19" i="247"/>
  <c r="B19" i="246"/>
  <c r="B19" i="251"/>
  <c r="B19" i="250"/>
  <c r="D50" i="249"/>
  <c r="E50" i="251"/>
  <c r="B19" i="244"/>
  <c r="B19" i="242"/>
  <c r="B19" i="240"/>
  <c r="B19" i="238"/>
  <c r="B19" i="236"/>
  <c r="B19" i="228"/>
  <c r="I19" i="228"/>
  <c r="D50" i="250"/>
  <c r="E50" i="246"/>
  <c r="I19" i="245"/>
  <c r="I19" i="243"/>
  <c r="I19" i="241"/>
  <c r="I19" i="239"/>
  <c r="I19" i="237"/>
  <c r="I19" i="235"/>
  <c r="D19" i="236"/>
  <c r="C50" i="249"/>
  <c r="D50" i="251"/>
  <c r="E50" i="247"/>
  <c r="F19" i="245"/>
  <c r="F19" i="243"/>
  <c r="F19" i="241"/>
  <c r="F19" i="239"/>
  <c r="F19" i="237"/>
  <c r="F19" i="235"/>
  <c r="D19" i="244"/>
  <c r="C50" i="250"/>
  <c r="D50" i="246"/>
  <c r="E50" i="248"/>
  <c r="D19" i="245"/>
  <c r="D19" i="243"/>
  <c r="D19" i="241"/>
  <c r="D19" i="239"/>
  <c r="D19" i="237"/>
  <c r="D19" i="235"/>
  <c r="C50" i="251"/>
  <c r="D50" i="247"/>
  <c r="B19" i="245"/>
  <c r="B19" i="243"/>
  <c r="B19" i="241"/>
  <c r="B19" i="239"/>
  <c r="B19" i="237"/>
  <c r="B19" i="235"/>
  <c r="D19" i="242"/>
  <c r="C50" i="246"/>
  <c r="D50" i="248"/>
  <c r="I19" i="244"/>
  <c r="I19" i="242"/>
  <c r="I19" i="240"/>
  <c r="I19" i="238"/>
  <c r="I19" i="236"/>
  <c r="C50" i="247"/>
  <c r="E50" i="249"/>
  <c r="F19" i="244"/>
  <c r="F19" i="242"/>
  <c r="F19" i="240"/>
  <c r="F19" i="238"/>
  <c r="F19" i="236"/>
  <c r="F19" i="228"/>
  <c r="C50" i="248"/>
  <c r="E50" i="250"/>
  <c r="D19" i="240"/>
  <c r="D19" i="238"/>
  <c r="D19" i="228"/>
  <c r="D50" i="239"/>
  <c r="E50" i="245"/>
  <c r="D50" i="228"/>
  <c r="E50" i="238"/>
  <c r="C50" i="239"/>
  <c r="C50" i="235"/>
  <c r="D50" i="243"/>
  <c r="D50" i="237"/>
  <c r="D50" i="236"/>
  <c r="E50" i="240"/>
  <c r="C50" i="241"/>
  <c r="C50" i="240"/>
  <c r="E50" i="241"/>
  <c r="D50" i="245"/>
  <c r="C50" i="228"/>
  <c r="D50" i="238"/>
  <c r="E50" i="242"/>
  <c r="C50" i="243"/>
  <c r="D50" i="244"/>
  <c r="E50" i="235"/>
  <c r="C50" i="236"/>
  <c r="D50" i="240"/>
  <c r="E50" i="244"/>
  <c r="C50" i="245"/>
  <c r="D50" i="241"/>
  <c r="E50" i="237"/>
  <c r="C50" i="238"/>
  <c r="D50" i="242"/>
  <c r="D50" i="235"/>
  <c r="E50" i="239"/>
  <c r="C50" i="242"/>
  <c r="E50" i="243"/>
  <c r="C50" i="244"/>
  <c r="E50" i="236"/>
  <c r="C50" i="237"/>
  <c r="E50" i="228"/>
  <c r="I19" i="201"/>
  <c r="F19" i="201"/>
  <c r="D19" i="201"/>
  <c r="C50" i="201"/>
  <c r="B19" i="201"/>
  <c r="E50" i="201"/>
  <c r="D50" i="201"/>
  <c r="E52" i="132"/>
  <c r="G8" i="243" s="1"/>
  <c r="D52" i="132"/>
  <c r="I7" i="243" s="1"/>
  <c r="C52" i="132"/>
  <c r="G7" i="243" s="1"/>
  <c r="E51" i="132"/>
  <c r="G8" i="242" s="1"/>
  <c r="D51" i="132"/>
  <c r="I7" i="242" s="1"/>
  <c r="C51" i="132"/>
  <c r="G7" i="242" s="1"/>
  <c r="E50" i="132"/>
  <c r="G8" i="241" s="1"/>
  <c r="D50" i="132"/>
  <c r="I7" i="241" s="1"/>
  <c r="C50" i="132"/>
  <c r="G7" i="241" s="1"/>
  <c r="E49" i="132"/>
  <c r="G8" i="240" s="1"/>
  <c r="D49" i="132"/>
  <c r="I7" i="240" s="1"/>
  <c r="C49" i="132"/>
  <c r="G7" i="240" s="1"/>
  <c r="E48" i="132"/>
  <c r="G8" i="239" s="1"/>
  <c r="D48" i="132"/>
  <c r="I7" i="239" s="1"/>
  <c r="C48" i="132"/>
  <c r="G7" i="239" s="1"/>
  <c r="E47" i="132"/>
  <c r="G8" i="238" s="1"/>
  <c r="D47" i="132"/>
  <c r="I7" i="238" s="1"/>
  <c r="C47" i="132"/>
  <c r="G7" i="238" s="1"/>
  <c r="E46" i="132"/>
  <c r="G8" i="237" s="1"/>
  <c r="D46" i="132"/>
  <c r="I7" i="237" s="1"/>
  <c r="C46" i="132"/>
  <c r="G7" i="237" s="1"/>
  <c r="E45" i="132"/>
  <c r="G8" i="236" s="1"/>
  <c r="D45" i="132"/>
  <c r="I7" i="236" s="1"/>
  <c r="C45" i="132"/>
  <c r="G7" i="236" s="1"/>
  <c r="E44" i="132"/>
  <c r="G8" i="235" s="1"/>
  <c r="D44" i="132"/>
  <c r="I7" i="235" s="1"/>
  <c r="C44" i="132"/>
  <c r="G7" i="235" s="1"/>
  <c r="E43" i="132"/>
  <c r="G8" i="251" s="1"/>
  <c r="D43" i="132"/>
  <c r="I7" i="251" s="1"/>
  <c r="C43" i="132"/>
  <c r="G7" i="251" s="1"/>
  <c r="E42" i="132"/>
  <c r="G8" i="250" s="1"/>
  <c r="D42" i="132"/>
  <c r="I7" i="250" s="1"/>
  <c r="C42" i="132"/>
  <c r="G7" i="250" s="1"/>
  <c r="E41" i="132"/>
  <c r="G8" i="249" s="1"/>
  <c r="D41" i="132"/>
  <c r="I7" i="249" s="1"/>
  <c r="C41" i="132"/>
  <c r="G7" i="249" s="1"/>
  <c r="E40" i="132"/>
  <c r="G8" i="248" s="1"/>
  <c r="D40" i="132"/>
  <c r="I7" i="248" s="1"/>
  <c r="C40" i="132"/>
  <c r="G7" i="248" s="1"/>
  <c r="E39" i="132"/>
  <c r="G8" i="247" s="1"/>
  <c r="D39" i="132"/>
  <c r="I7" i="247" s="1"/>
  <c r="C39" i="132"/>
  <c r="G7" i="247" s="1"/>
  <c r="E38" i="132"/>
  <c r="G8" i="246" s="1"/>
  <c r="D38" i="132"/>
  <c r="I7" i="246" s="1"/>
  <c r="C38" i="132"/>
  <c r="G7" i="246" s="1"/>
  <c r="F23" i="132"/>
  <c r="D4" i="244" s="1"/>
  <c r="E23" i="132"/>
  <c r="C4" i="244" s="1"/>
  <c r="D23" i="132"/>
  <c r="B4" i="244" s="1"/>
  <c r="C23" i="132"/>
  <c r="A4" i="244" s="1"/>
  <c r="F22" i="132"/>
  <c r="D4" i="243" s="1"/>
  <c r="E22" i="132"/>
  <c r="C4" i="243" s="1"/>
  <c r="D22" i="132"/>
  <c r="B4" i="243" s="1"/>
  <c r="C22" i="132"/>
  <c r="A4" i="243" s="1"/>
  <c r="F21" i="132"/>
  <c r="D4" i="242" s="1"/>
  <c r="E21" i="132"/>
  <c r="C4" i="242" s="1"/>
  <c r="D21" i="132"/>
  <c r="B4" i="242" s="1"/>
  <c r="C21" i="132"/>
  <c r="A4" i="242" s="1"/>
  <c r="F20" i="132"/>
  <c r="D4" i="241" s="1"/>
  <c r="E20" i="132"/>
  <c r="C4" i="241" s="1"/>
  <c r="D20" i="132"/>
  <c r="B4" i="241" s="1"/>
  <c r="C20" i="132"/>
  <c r="A4" i="241" s="1"/>
  <c r="F19" i="132"/>
  <c r="D4" i="240" s="1"/>
  <c r="E19" i="132"/>
  <c r="C4" i="240" s="1"/>
  <c r="D19" i="132"/>
  <c r="B4" i="240" s="1"/>
  <c r="C19" i="132"/>
  <c r="A4" i="240" s="1"/>
  <c r="F18" i="132"/>
  <c r="D4" i="239" s="1"/>
  <c r="E18" i="132"/>
  <c r="C4" i="239" s="1"/>
  <c r="D18" i="132"/>
  <c r="B4" i="239" s="1"/>
  <c r="C18" i="132"/>
  <c r="A4" i="239" s="1"/>
  <c r="F17" i="132"/>
  <c r="D4" i="238" s="1"/>
  <c r="E17" i="132"/>
  <c r="C4" i="238" s="1"/>
  <c r="D17" i="132"/>
  <c r="B4" i="238" s="1"/>
  <c r="C17" i="132"/>
  <c r="A4" i="238" s="1"/>
  <c r="F16" i="132"/>
  <c r="D4" i="237" s="1"/>
  <c r="E16" i="132"/>
  <c r="C4" i="237" s="1"/>
  <c r="D16" i="132"/>
  <c r="B4" i="237" s="1"/>
  <c r="C16" i="132"/>
  <c r="A4" i="237" s="1"/>
  <c r="F15" i="132"/>
  <c r="D4" i="236" s="1"/>
  <c r="E15" i="132"/>
  <c r="C4" i="236" s="1"/>
  <c r="D15" i="132"/>
  <c r="B4" i="236" s="1"/>
  <c r="C15" i="132"/>
  <c r="A4" i="236" s="1"/>
  <c r="F14" i="132"/>
  <c r="D4" i="235" s="1"/>
  <c r="E14" i="132"/>
  <c r="C4" i="235" s="1"/>
  <c r="D14" i="132"/>
  <c r="B4" i="235" s="1"/>
  <c r="C14" i="132"/>
  <c r="A4" i="235" s="1"/>
  <c r="F13" i="132"/>
  <c r="E13" i="132"/>
  <c r="C4" i="251" s="1"/>
  <c r="D13" i="132"/>
  <c r="B4" i="251" s="1"/>
  <c r="C13" i="132"/>
  <c r="F12" i="132"/>
  <c r="E12" i="132"/>
  <c r="C4" i="250" s="1"/>
  <c r="D12" i="132"/>
  <c r="B4" i="250" s="1"/>
  <c r="C12" i="132"/>
  <c r="F11" i="132"/>
  <c r="D4" i="249" s="1"/>
  <c r="E11" i="132"/>
  <c r="C4" i="249" s="1"/>
  <c r="D11" i="132"/>
  <c r="B4" i="249" s="1"/>
  <c r="C11" i="132"/>
  <c r="A4" i="249" s="1"/>
  <c r="F10" i="132"/>
  <c r="D4" i="248" s="1"/>
  <c r="E10" i="132"/>
  <c r="C4" i="248" s="1"/>
  <c r="D10" i="132"/>
  <c r="B4" i="248" s="1"/>
  <c r="C10" i="132"/>
  <c r="A4" i="248" s="1"/>
  <c r="F9" i="132"/>
  <c r="D4" i="247" s="1"/>
  <c r="E9" i="132"/>
  <c r="C4" i="247" s="1"/>
  <c r="D9" i="132"/>
  <c r="B4" i="247" s="1"/>
  <c r="C9" i="132"/>
  <c r="A4" i="247" s="1"/>
  <c r="F8" i="132"/>
  <c r="D4" i="246" s="1"/>
  <c r="E8" i="132"/>
  <c r="C4" i="246" s="1"/>
  <c r="C8" i="132"/>
  <c r="A4" i="246" s="1"/>
  <c r="I48" i="250" l="1"/>
  <c r="I48" i="244"/>
  <c r="I48" i="239"/>
  <c r="I48" i="248"/>
  <c r="F54" i="248" s="1"/>
  <c r="H54" i="248" s="1"/>
  <c r="D74" i="248" s="1"/>
  <c r="I48" i="247"/>
  <c r="I48" i="238"/>
  <c r="F54" i="238" s="1"/>
  <c r="H54" i="238" s="1"/>
  <c r="D74" i="238" s="1"/>
  <c r="I48" i="243"/>
  <c r="I48" i="241"/>
  <c r="I48" i="251"/>
  <c r="I48" i="246"/>
  <c r="I48" i="201"/>
  <c r="I48" i="249"/>
  <c r="I48" i="228"/>
  <c r="I48" i="235"/>
  <c r="I48" i="236"/>
  <c r="I48" i="237"/>
  <c r="I48" i="240"/>
  <c r="I48" i="245"/>
  <c r="I48" i="242"/>
  <c r="D4" i="251"/>
  <c r="D4" i="250"/>
  <c r="A4" i="251"/>
  <c r="A4" i="250"/>
  <c r="B4" i="201"/>
  <c r="A4" i="201"/>
  <c r="Z55" i="132"/>
  <c r="Z49" i="132"/>
  <c r="F54" i="244" l="1"/>
  <c r="H54" i="244" s="1"/>
  <c r="D74" i="244" s="1"/>
  <c r="D75" i="244" s="1"/>
  <c r="E75" i="244" s="1"/>
  <c r="F54" i="250"/>
  <c r="H54" i="250" s="1"/>
  <c r="D74" i="250" s="1"/>
  <c r="D75" i="250" s="1"/>
  <c r="E75" i="250" s="1"/>
  <c r="F54" i="247"/>
  <c r="H54" i="247" s="1"/>
  <c r="D74" i="247" s="1"/>
  <c r="E74" i="247" s="1"/>
  <c r="F74" i="247" s="1"/>
  <c r="F54" i="239"/>
  <c r="H54" i="239" s="1"/>
  <c r="D74" i="239" s="1"/>
  <c r="D75" i="239" s="1"/>
  <c r="E75" i="239" s="1"/>
  <c r="F54" i="245"/>
  <c r="H54" i="245" s="1"/>
  <c r="D74" i="245" s="1"/>
  <c r="F54" i="236"/>
  <c r="H54" i="236" s="1"/>
  <c r="D74" i="236" s="1"/>
  <c r="D75" i="248"/>
  <c r="E75" i="248" s="1"/>
  <c r="E74" i="248"/>
  <c r="F74" i="248" s="1"/>
  <c r="F54" i="246"/>
  <c r="H54" i="246" s="1"/>
  <c r="D74" i="246" s="1"/>
  <c r="F54" i="240"/>
  <c r="H54" i="240" s="1"/>
  <c r="D74" i="240" s="1"/>
  <c r="F54" i="235"/>
  <c r="H54" i="235" s="1"/>
  <c r="D74" i="235" s="1"/>
  <c r="F54" i="228"/>
  <c r="H54" i="228" s="1"/>
  <c r="D74" i="228" s="1"/>
  <c r="F54" i="251"/>
  <c r="H54" i="251" s="1"/>
  <c r="D74" i="251" s="1"/>
  <c r="F54" i="243"/>
  <c r="H54" i="243" s="1"/>
  <c r="D74" i="243" s="1"/>
  <c r="E74" i="238"/>
  <c r="F74" i="238" s="1"/>
  <c r="D75" i="238"/>
  <c r="E75" i="238" s="1"/>
  <c r="F54" i="237"/>
  <c r="H54" i="237" s="1"/>
  <c r="D74" i="237" s="1"/>
  <c r="F54" i="249"/>
  <c r="H54" i="249" s="1"/>
  <c r="D74" i="249" s="1"/>
  <c r="F54" i="241"/>
  <c r="H54" i="241" s="1"/>
  <c r="D74" i="241" s="1"/>
  <c r="F54" i="242"/>
  <c r="H54" i="242" s="1"/>
  <c r="D74" i="242" s="1"/>
  <c r="F54" i="201"/>
  <c r="H54" i="201" s="1"/>
  <c r="D74" i="201" s="1"/>
  <c r="Q168" i="132"/>
  <c r="O167" i="132"/>
  <c r="E74" i="250" l="1"/>
  <c r="F74" i="250" s="1"/>
  <c r="F75" i="250" s="1"/>
  <c r="E74" i="239"/>
  <c r="F74" i="239" s="1"/>
  <c r="F75" i="239" s="1"/>
  <c r="E74" i="244"/>
  <c r="F74" i="244" s="1"/>
  <c r="F75" i="244" s="1"/>
  <c r="F81" i="244" s="1"/>
  <c r="D75" i="247"/>
  <c r="E75" i="247" s="1"/>
  <c r="E74" i="240"/>
  <c r="F74" i="240" s="1"/>
  <c r="D75" i="240"/>
  <c r="E75" i="240" s="1"/>
  <c r="F81" i="247"/>
  <c r="F75" i="247"/>
  <c r="E74" i="242"/>
  <c r="F74" i="242" s="1"/>
  <c r="D75" i="242"/>
  <c r="E75" i="242" s="1"/>
  <c r="E74" i="237"/>
  <c r="F74" i="237" s="1"/>
  <c r="D75" i="237"/>
  <c r="E75" i="237" s="1"/>
  <c r="D75" i="228"/>
  <c r="E75" i="228" s="1"/>
  <c r="E74" i="228"/>
  <c r="F74" i="228" s="1"/>
  <c r="D75" i="246"/>
  <c r="E75" i="246" s="1"/>
  <c r="E74" i="246"/>
  <c r="F74" i="246" s="1"/>
  <c r="D75" i="251"/>
  <c r="E75" i="251" s="1"/>
  <c r="E74" i="251"/>
  <c r="F74" i="251" s="1"/>
  <c r="D75" i="243"/>
  <c r="E75" i="243" s="1"/>
  <c r="E74" i="243"/>
  <c r="F74" i="243" s="1"/>
  <c r="D75" i="249"/>
  <c r="E75" i="249" s="1"/>
  <c r="E74" i="249"/>
  <c r="F74" i="249" s="1"/>
  <c r="D75" i="236"/>
  <c r="E75" i="236" s="1"/>
  <c r="E74" i="236"/>
  <c r="F74" i="236" s="1"/>
  <c r="D75" i="235"/>
  <c r="E75" i="235" s="1"/>
  <c r="E74" i="235"/>
  <c r="F74" i="235" s="1"/>
  <c r="D75" i="245"/>
  <c r="E75" i="245" s="1"/>
  <c r="E74" i="245"/>
  <c r="F74" i="245" s="1"/>
  <c r="F75" i="245" s="1"/>
  <c r="F81" i="245" s="1"/>
  <c r="D75" i="241"/>
  <c r="E75" i="241" s="1"/>
  <c r="E74" i="241"/>
  <c r="F74" i="241" s="1"/>
  <c r="F81" i="248"/>
  <c r="F75" i="248"/>
  <c r="F75" i="238"/>
  <c r="F81" i="238"/>
  <c r="D75" i="201"/>
  <c r="E75" i="201" s="1"/>
  <c r="E74" i="201"/>
  <c r="F74" i="201" s="1"/>
  <c r="Z61" i="132"/>
  <c r="Z60" i="132"/>
  <c r="Z59" i="132"/>
  <c r="Z58" i="132"/>
  <c r="Z57" i="132"/>
  <c r="Z56" i="132"/>
  <c r="Z54" i="132"/>
  <c r="Z53" i="132"/>
  <c r="Z52" i="132"/>
  <c r="Z51" i="132"/>
  <c r="Z50" i="132"/>
  <c r="Z48" i="132"/>
  <c r="Z47" i="132"/>
  <c r="Z46" i="132"/>
  <c r="Z45" i="132"/>
  <c r="Z44" i="132"/>
  <c r="Z43" i="132"/>
  <c r="Z42" i="132"/>
  <c r="Z41" i="132"/>
  <c r="Z40" i="132"/>
  <c r="Z39" i="132"/>
  <c r="Z38" i="132"/>
  <c r="Z37" i="132"/>
  <c r="Z36" i="132"/>
  <c r="Z35" i="132"/>
  <c r="Z34" i="132"/>
  <c r="Z33" i="132"/>
  <c r="Z32" i="132"/>
  <c r="Z31" i="132"/>
  <c r="Z30" i="132"/>
  <c r="Z27" i="132"/>
  <c r="C15" i="244" s="1"/>
  <c r="Z26" i="132"/>
  <c r="C15" i="243" s="1"/>
  <c r="Z25" i="132"/>
  <c r="Z24" i="132"/>
  <c r="Z23" i="132"/>
  <c r="C15" i="240" s="1"/>
  <c r="Z22" i="132"/>
  <c r="C15" i="239" s="1"/>
  <c r="Z21" i="132"/>
  <c r="Z20" i="132"/>
  <c r="C15" i="237" s="1"/>
  <c r="Z19" i="132"/>
  <c r="C15" i="236" s="1"/>
  <c r="Z18" i="132"/>
  <c r="C15" i="235" s="1"/>
  <c r="Z17" i="132"/>
  <c r="Z16" i="132"/>
  <c r="Z15" i="132"/>
  <c r="C15" i="249" s="1"/>
  <c r="Z14" i="132"/>
  <c r="C15" i="248" s="1"/>
  <c r="Z13" i="132"/>
  <c r="Z12" i="132"/>
  <c r="Z11" i="132"/>
  <c r="Q166" i="132"/>
  <c r="P166" i="132"/>
  <c r="O166" i="132"/>
  <c r="Q165" i="132"/>
  <c r="P165" i="132"/>
  <c r="O165" i="132"/>
  <c r="P168" i="132"/>
  <c r="O168" i="132"/>
  <c r="Q167" i="132"/>
  <c r="P167" i="132"/>
  <c r="Q164" i="132"/>
  <c r="P164" i="132"/>
  <c r="O164" i="132"/>
  <c r="AA44" i="132"/>
  <c r="AA41" i="132"/>
  <c r="AA38" i="132"/>
  <c r="AA35" i="132"/>
  <c r="AA32" i="132"/>
  <c r="C15" i="201" l="1"/>
  <c r="C15" i="228"/>
  <c r="D20" i="228"/>
  <c r="D20" i="251"/>
  <c r="D20" i="241"/>
  <c r="D20" i="250"/>
  <c r="D20" i="238"/>
  <c r="D20" i="239"/>
  <c r="D20" i="244"/>
  <c r="D20" i="236"/>
  <c r="D20" i="240"/>
  <c r="D20" i="249"/>
  <c r="D20" i="245"/>
  <c r="D20" i="237"/>
  <c r="D20" i="246"/>
  <c r="D20" i="248"/>
  <c r="D20" i="242"/>
  <c r="D20" i="201"/>
  <c r="D20" i="247"/>
  <c r="D20" i="243"/>
  <c r="D20" i="235"/>
  <c r="C15" i="246"/>
  <c r="C15" i="247"/>
  <c r="G20" i="228"/>
  <c r="I49" i="228" s="1"/>
  <c r="C63" i="228" s="1"/>
  <c r="G20" i="247"/>
  <c r="G20" i="239"/>
  <c r="G20" i="246"/>
  <c r="G20" i="240"/>
  <c r="G20" i="251"/>
  <c r="G20" i="250"/>
  <c r="G20" i="238"/>
  <c r="G20" i="237"/>
  <c r="G20" i="245"/>
  <c r="G20" i="243"/>
  <c r="G20" i="244"/>
  <c r="G20" i="236"/>
  <c r="G20" i="248"/>
  <c r="G20" i="242"/>
  <c r="G20" i="201"/>
  <c r="G20" i="249"/>
  <c r="G20" i="241"/>
  <c r="G20" i="235"/>
  <c r="I20" i="228"/>
  <c r="I20" i="249"/>
  <c r="I20" i="242"/>
  <c r="I20" i="248"/>
  <c r="I20" i="239"/>
  <c r="I20" i="247"/>
  <c r="I49" i="247" s="1"/>
  <c r="C63" i="247" s="1"/>
  <c r="I20" i="240"/>
  <c r="I20" i="246"/>
  <c r="I20" i="245"/>
  <c r="I20" i="237"/>
  <c r="I20" i="241"/>
  <c r="I49" i="241" s="1"/>
  <c r="C63" i="241" s="1"/>
  <c r="I20" i="251"/>
  <c r="I49" i="251" s="1"/>
  <c r="C63" i="251" s="1"/>
  <c r="I20" i="238"/>
  <c r="I49" i="238" s="1"/>
  <c r="C63" i="238" s="1"/>
  <c r="I20" i="250"/>
  <c r="I49" i="250" s="1"/>
  <c r="C63" i="250" s="1"/>
  <c r="I20" i="243"/>
  <c r="I20" i="235"/>
  <c r="I49" i="235" s="1"/>
  <c r="C63" i="235" s="1"/>
  <c r="C66" i="235" s="1"/>
  <c r="I20" i="244"/>
  <c r="I20" i="236"/>
  <c r="I20" i="201"/>
  <c r="C15" i="251"/>
  <c r="C15" i="250"/>
  <c r="C15" i="242"/>
  <c r="C15" i="241"/>
  <c r="C15" i="238"/>
  <c r="F81" i="250"/>
  <c r="F81" i="239"/>
  <c r="F75" i="241"/>
  <c r="F81" i="241"/>
  <c r="F81" i="243"/>
  <c r="F75" i="243"/>
  <c r="F81" i="237"/>
  <c r="F75" i="237"/>
  <c r="F81" i="240"/>
  <c r="F75" i="240"/>
  <c r="F81" i="235"/>
  <c r="F75" i="235"/>
  <c r="F81" i="236"/>
  <c r="F75" i="236"/>
  <c r="F81" i="251"/>
  <c r="F75" i="251"/>
  <c r="F81" i="242"/>
  <c r="F75" i="242"/>
  <c r="F75" i="228"/>
  <c r="F81" i="228"/>
  <c r="F81" i="249"/>
  <c r="F75" i="249"/>
  <c r="F81" i="246"/>
  <c r="F75" i="246"/>
  <c r="F75" i="201"/>
  <c r="I49" i="243" l="1"/>
  <c r="C63" i="243" s="1"/>
  <c r="C66" i="243" s="1"/>
  <c r="I49" i="240"/>
  <c r="C63" i="240" s="1"/>
  <c r="C66" i="240" s="1"/>
  <c r="I49" i="239"/>
  <c r="C63" i="239" s="1"/>
  <c r="C66" i="239" s="1"/>
  <c r="I49" i="245"/>
  <c r="C63" i="245" s="1"/>
  <c r="C66" i="245" s="1"/>
  <c r="I49" i="244"/>
  <c r="C63" i="244" s="1"/>
  <c r="C66" i="244" s="1"/>
  <c r="I49" i="242"/>
  <c r="C63" i="242" s="1"/>
  <c r="C66" i="242" s="1"/>
  <c r="I49" i="236"/>
  <c r="C63" i="236" s="1"/>
  <c r="C66" i="236" s="1"/>
  <c r="C66" i="250"/>
  <c r="I61" i="250" s="1"/>
  <c r="I62" i="250" s="1"/>
  <c r="J61" i="250" s="1"/>
  <c r="C66" i="247"/>
  <c r="G69" i="247" s="1"/>
  <c r="G66" i="247" s="1"/>
  <c r="I49" i="248"/>
  <c r="C63" i="248" s="1"/>
  <c r="C66" i="248" s="1"/>
  <c r="G69" i="248" s="1"/>
  <c r="I49" i="201"/>
  <c r="C63" i="201" s="1"/>
  <c r="C66" i="201" s="1"/>
  <c r="C66" i="238"/>
  <c r="G69" i="239"/>
  <c r="G66" i="239" s="1"/>
  <c r="I61" i="239"/>
  <c r="I62" i="239" s="1"/>
  <c r="J61" i="239" s="1"/>
  <c r="C66" i="251"/>
  <c r="G69" i="201"/>
  <c r="I61" i="201"/>
  <c r="C66" i="241"/>
  <c r="G69" i="236"/>
  <c r="I61" i="236"/>
  <c r="I49" i="237"/>
  <c r="C63" i="237" s="1"/>
  <c r="C66" i="237" s="1"/>
  <c r="I49" i="249"/>
  <c r="C63" i="249" s="1"/>
  <c r="C66" i="249" s="1"/>
  <c r="G69" i="245"/>
  <c r="I61" i="245"/>
  <c r="G69" i="244"/>
  <c r="I61" i="244"/>
  <c r="G69" i="235"/>
  <c r="I61" i="235"/>
  <c r="I62" i="235" s="1"/>
  <c r="J61" i="235" s="1"/>
  <c r="I49" i="246"/>
  <c r="C63" i="246" s="1"/>
  <c r="C66" i="246" s="1"/>
  <c r="I61" i="243"/>
  <c r="I62" i="243" s="1"/>
  <c r="J61" i="243" s="1"/>
  <c r="G69" i="243"/>
  <c r="I61" i="240"/>
  <c r="I62" i="240" s="1"/>
  <c r="J61" i="240" s="1"/>
  <c r="G69" i="240"/>
  <c r="C66" i="228"/>
  <c r="I61" i="228" s="1"/>
  <c r="I62" i="245" l="1"/>
  <c r="J61" i="245" s="1"/>
  <c r="I62" i="244"/>
  <c r="J61" i="244" s="1"/>
  <c r="I62" i="236"/>
  <c r="J61" i="236" s="1"/>
  <c r="G69" i="250"/>
  <c r="G66" i="250" s="1"/>
  <c r="I61" i="248"/>
  <c r="I62" i="248" s="1"/>
  <c r="J61" i="248" s="1"/>
  <c r="I61" i="247"/>
  <c r="I62" i="247" s="1"/>
  <c r="J61" i="247" s="1"/>
  <c r="G66" i="201"/>
  <c r="I62" i="201"/>
  <c r="J61" i="201" s="1"/>
  <c r="G69" i="249"/>
  <c r="G66" i="249" s="1"/>
  <c r="I61" i="249"/>
  <c r="I62" i="249" s="1"/>
  <c r="J61" i="249" s="1"/>
  <c r="I61" i="238"/>
  <c r="I62" i="238" s="1"/>
  <c r="J61" i="238" s="1"/>
  <c r="G69" i="238"/>
  <c r="G66" i="238" s="1"/>
  <c r="I61" i="246"/>
  <c r="I62" i="246" s="1"/>
  <c r="J61" i="246" s="1"/>
  <c r="G69" i="246"/>
  <c r="I61" i="237"/>
  <c r="I62" i="237" s="1"/>
  <c r="J61" i="237" s="1"/>
  <c r="G69" i="237"/>
  <c r="G66" i="237" s="1"/>
  <c r="G70" i="201"/>
  <c r="I74" i="201" s="1"/>
  <c r="I75" i="201" s="1"/>
  <c r="I67" i="201"/>
  <c r="J67" i="201" s="1"/>
  <c r="K67" i="201" s="1"/>
  <c r="G59" i="201"/>
  <c r="G62" i="201"/>
  <c r="G67" i="201"/>
  <c r="I67" i="235"/>
  <c r="J67" i="235" s="1"/>
  <c r="K67" i="235" s="1"/>
  <c r="G62" i="235"/>
  <c r="G67" i="235"/>
  <c r="G59" i="235"/>
  <c r="G70" i="235"/>
  <c r="I74" i="235" s="1"/>
  <c r="G81" i="235" s="1"/>
  <c r="G66" i="235"/>
  <c r="I67" i="236"/>
  <c r="J67" i="236" s="1"/>
  <c r="K67" i="236" s="1"/>
  <c r="G66" i="236"/>
  <c r="G59" i="236"/>
  <c r="G70" i="236"/>
  <c r="I74" i="236" s="1"/>
  <c r="G81" i="236" s="1"/>
  <c r="G62" i="236"/>
  <c r="G67" i="236"/>
  <c r="I67" i="248"/>
  <c r="G70" i="248"/>
  <c r="I74" i="248" s="1"/>
  <c r="I75" i="248" s="1"/>
  <c r="G66" i="248"/>
  <c r="G59" i="248"/>
  <c r="G62" i="248"/>
  <c r="G67" i="248"/>
  <c r="G69" i="242"/>
  <c r="G66" i="242" s="1"/>
  <c r="I61" i="242"/>
  <c r="I62" i="242" s="1"/>
  <c r="J61" i="242" s="1"/>
  <c r="G69" i="251"/>
  <c r="G66" i="251" s="1"/>
  <c r="I61" i="251"/>
  <c r="I62" i="251" s="1"/>
  <c r="J61" i="251" s="1"/>
  <c r="I67" i="244"/>
  <c r="J67" i="244" s="1"/>
  <c r="K67" i="244" s="1"/>
  <c r="G62" i="244"/>
  <c r="G59" i="244"/>
  <c r="G70" i="244"/>
  <c r="I74" i="244" s="1"/>
  <c r="I75" i="244" s="1"/>
  <c r="G81" i="244" s="1"/>
  <c r="G67" i="244"/>
  <c r="G69" i="241"/>
  <c r="G66" i="241" s="1"/>
  <c r="I61" i="241"/>
  <c r="I62" i="241" s="1"/>
  <c r="J61" i="241" s="1"/>
  <c r="I67" i="247"/>
  <c r="J67" i="247" s="1"/>
  <c r="K67" i="247" s="1"/>
  <c r="G59" i="247"/>
  <c r="G67" i="247"/>
  <c r="G62" i="247"/>
  <c r="G70" i="247"/>
  <c r="I74" i="247" s="1"/>
  <c r="I67" i="240"/>
  <c r="G66" i="240"/>
  <c r="G70" i="240"/>
  <c r="I74" i="240" s="1"/>
  <c r="G81" i="240" s="1"/>
  <c r="G62" i="240"/>
  <c r="G59" i="240"/>
  <c r="G67" i="240"/>
  <c r="I67" i="243"/>
  <c r="J67" i="243" s="1"/>
  <c r="K67" i="243" s="1"/>
  <c r="G67" i="243"/>
  <c r="G62" i="243"/>
  <c r="G70" i="243"/>
  <c r="I74" i="243" s="1"/>
  <c r="I75" i="243" s="1"/>
  <c r="G66" i="243"/>
  <c r="G59" i="243"/>
  <c r="G68" i="243" s="1"/>
  <c r="I67" i="239"/>
  <c r="J67" i="239" s="1"/>
  <c r="K67" i="239" s="1"/>
  <c r="G67" i="239"/>
  <c r="G70" i="239"/>
  <c r="I74" i="239" s="1"/>
  <c r="G59" i="239"/>
  <c r="G62" i="239"/>
  <c r="G66" i="244"/>
  <c r="I62" i="228"/>
  <c r="J61" i="228" s="1"/>
  <c r="G69" i="228"/>
  <c r="I67" i="228" s="1"/>
  <c r="I75" i="236" l="1"/>
  <c r="I75" i="235"/>
  <c r="G62" i="250"/>
  <c r="G59" i="250"/>
  <c r="G68" i="250" s="1"/>
  <c r="G67" i="250"/>
  <c r="G70" i="250"/>
  <c r="I74" i="250" s="1"/>
  <c r="I75" i="250" s="1"/>
  <c r="I67" i="250"/>
  <c r="J67" i="250" s="1"/>
  <c r="K67" i="250" s="1"/>
  <c r="G81" i="248"/>
  <c r="G81" i="243"/>
  <c r="I75" i="240"/>
  <c r="G68" i="236"/>
  <c r="G68" i="239"/>
  <c r="G68" i="247"/>
  <c r="G70" i="228"/>
  <c r="I74" i="228" s="1"/>
  <c r="G68" i="240"/>
  <c r="J67" i="240" s="1"/>
  <c r="K67" i="240" s="1"/>
  <c r="I67" i="246"/>
  <c r="J67" i="246" s="1"/>
  <c r="K67" i="246" s="1"/>
  <c r="G59" i="246"/>
  <c r="G62" i="246"/>
  <c r="G67" i="246"/>
  <c r="G70" i="246"/>
  <c r="I74" i="246" s="1"/>
  <c r="G68" i="201"/>
  <c r="I67" i="238"/>
  <c r="G67" i="238"/>
  <c r="G59" i="238"/>
  <c r="G68" i="238" s="1"/>
  <c r="G70" i="238"/>
  <c r="I74" i="238" s="1"/>
  <c r="G62" i="238"/>
  <c r="G68" i="248"/>
  <c r="J67" i="248" s="1"/>
  <c r="K67" i="248" s="1"/>
  <c r="G66" i="228"/>
  <c r="I67" i="241"/>
  <c r="J67" i="241" s="1"/>
  <c r="K67" i="241" s="1"/>
  <c r="G59" i="241"/>
  <c r="G62" i="241"/>
  <c r="G67" i="241"/>
  <c r="G70" i="241"/>
  <c r="I74" i="241" s="1"/>
  <c r="I67" i="251"/>
  <c r="J67" i="251" s="1"/>
  <c r="K67" i="251" s="1"/>
  <c r="G59" i="251"/>
  <c r="G68" i="251" s="1"/>
  <c r="G70" i="251"/>
  <c r="I74" i="251" s="1"/>
  <c r="G62" i="251"/>
  <c r="G67" i="251"/>
  <c r="G62" i="228"/>
  <c r="G81" i="247"/>
  <c r="I75" i="247"/>
  <c r="I67" i="237"/>
  <c r="J67" i="237" s="1"/>
  <c r="K67" i="237" s="1"/>
  <c r="G59" i="237"/>
  <c r="G67" i="237"/>
  <c r="G70" i="237"/>
  <c r="I74" i="237" s="1"/>
  <c r="G62" i="237"/>
  <c r="G59" i="228"/>
  <c r="G81" i="239"/>
  <c r="I75" i="239"/>
  <c r="G68" i="235"/>
  <c r="G67" i="228"/>
  <c r="G68" i="244"/>
  <c r="I67" i="242"/>
  <c r="J67" i="242" s="1"/>
  <c r="K67" i="242" s="1"/>
  <c r="G59" i="242"/>
  <c r="G67" i="242"/>
  <c r="G70" i="242"/>
  <c r="I74" i="242" s="1"/>
  <c r="G62" i="242"/>
  <c r="G66" i="246"/>
  <c r="I67" i="249"/>
  <c r="G59" i="249"/>
  <c r="G62" i="249"/>
  <c r="G70" i="249"/>
  <c r="I74" i="249" s="1"/>
  <c r="G67" i="249"/>
  <c r="J67" i="228"/>
  <c r="K67" i="228" s="1"/>
  <c r="G81" i="250" l="1"/>
  <c r="J67" i="238"/>
  <c r="K67" i="238" s="1"/>
  <c r="G81" i="251"/>
  <c r="I75" i="251"/>
  <c r="I75" i="246"/>
  <c r="G81" i="246"/>
  <c r="I75" i="242"/>
  <c r="G81" i="242"/>
  <c r="G68" i="228"/>
  <c r="G81" i="249"/>
  <c r="I75" i="249"/>
  <c r="G68" i="242"/>
  <c r="G81" i="241"/>
  <c r="I75" i="241"/>
  <c r="G81" i="238"/>
  <c r="I75" i="238"/>
  <c r="G68" i="246"/>
  <c r="I75" i="237"/>
  <c r="G81" i="237"/>
  <c r="G68" i="249"/>
  <c r="J67" i="249" s="1"/>
  <c r="K67" i="249" s="1"/>
  <c r="G68" i="237"/>
  <c r="G68" i="241"/>
  <c r="I75" i="228"/>
  <c r="G81" i="228"/>
  <c r="G67" i="245" l="1"/>
  <c r="G66" i="245"/>
  <c r="G62" i="245"/>
  <c r="I67" i="245"/>
  <c r="J67" i="245" s="1"/>
  <c r="K67" i="245" s="1"/>
  <c r="G59" i="245"/>
  <c r="G70" i="245"/>
  <c r="I74" i="245" s="1"/>
  <c r="I75" i="245" s="1"/>
  <c r="G81" i="245" s="1"/>
  <c r="G68" i="2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A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B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D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E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F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10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11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12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6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Ecuación (C.6.3-1) NTC 1848:2007</t>
        </r>
      </text>
    </comment>
    <comment ref="K84" authorId="0" shapeId="0" xr:uid="{00000000-0006-0000-0900-000002000000}">
      <text>
        <r>
          <rPr>
            <sz val="9"/>
            <color indexed="81"/>
            <rFont val="Tahoma"/>
            <family val="2"/>
          </rPr>
          <t xml:space="preserve">
Ver certificados para estos datos</t>
        </r>
      </text>
    </comment>
  </commentList>
</comments>
</file>

<file path=xl/sharedStrings.xml><?xml version="1.0" encoding="utf-8"?>
<sst xmlns="http://schemas.openxmlformats.org/spreadsheetml/2006/main" count="3958" uniqueCount="428">
  <si>
    <t>A</t>
  </si>
  <si>
    <t>g</t>
  </si>
  <si>
    <t>B</t>
  </si>
  <si>
    <t>mg</t>
  </si>
  <si>
    <t>No</t>
  </si>
  <si>
    <t>Serie</t>
  </si>
  <si>
    <t>Fecha de calibración</t>
  </si>
  <si>
    <t>Presión (hPa)</t>
  </si>
  <si>
    <t>Fabricante</t>
  </si>
  <si>
    <t>Certificado</t>
  </si>
  <si>
    <t>Fecha de Calibración</t>
  </si>
  <si>
    <t>DATOS DE LA PESA DE REFERENCIA</t>
  </si>
  <si>
    <t>DATOS DE LA PESA DE PRUEBA</t>
  </si>
  <si>
    <t>Clase</t>
  </si>
  <si>
    <t>Serial</t>
  </si>
  <si>
    <t>Marcación</t>
  </si>
  <si>
    <t>Certificado N°</t>
  </si>
  <si>
    <t>Fecha Certificado</t>
  </si>
  <si>
    <t>DATOS DE LA BALANZA</t>
  </si>
  <si>
    <t>DATOS TERMOHIGRÓMETRO - BARÓMETRO</t>
  </si>
  <si>
    <t>Temperatura (°C)</t>
  </si>
  <si>
    <t>Humedad relativa (%rH)</t>
  </si>
  <si>
    <t>CICLOS DE PESAJE</t>
  </si>
  <si>
    <t>Hora inicial</t>
  </si>
  <si>
    <t>INDICACIONES (g)</t>
  </si>
  <si>
    <t>Ciclo</t>
  </si>
  <si>
    <t>Carga</t>
  </si>
  <si>
    <t>Hora final</t>
  </si>
  <si>
    <t>ANÁLISIS DE DATOS</t>
  </si>
  <si>
    <t>PROMEDIOS (g)</t>
  </si>
  <si>
    <t>Promedio</t>
  </si>
  <si>
    <t>CÁLCULO DENSIDAD DEL AIRE</t>
  </si>
  <si>
    <t>Magnitud</t>
  </si>
  <si>
    <t>Promedios</t>
  </si>
  <si>
    <t>DIFERENCIA PROMEDIO DE LA MASA CONVENCIONAL</t>
  </si>
  <si>
    <t>Promedio Indicación</t>
  </si>
  <si>
    <t>Corrección empuje aire</t>
  </si>
  <si>
    <t>C</t>
  </si>
  <si>
    <t>Diferencia masa convencional</t>
  </si>
  <si>
    <t>PRESUPUESTO DE INCERTIDUMBRE</t>
  </si>
  <si>
    <t>Incertidumbre típica</t>
  </si>
  <si>
    <t>Proceso de pesaje</t>
  </si>
  <si>
    <t>U/k</t>
  </si>
  <si>
    <t>Pesa de referencia</t>
  </si>
  <si>
    <t>Densidad pesa prueba</t>
  </si>
  <si>
    <t>Incertidumbre estándar combinada</t>
  </si>
  <si>
    <t>Resolución balanza</t>
  </si>
  <si>
    <t>Incertidumbre 
expandida</t>
  </si>
  <si>
    <t>RESULTADOS</t>
  </si>
  <si>
    <r>
      <t xml:space="preserve">Resolución </t>
    </r>
    <r>
      <rPr>
        <i/>
        <sz val="10"/>
        <color theme="1"/>
        <rFont val="Arial"/>
        <family val="2"/>
      </rPr>
      <t>d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</si>
  <si>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Nt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</si>
  <si>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Nr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</si>
  <si>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t</t>
    </r>
  </si>
  <si>
    <r>
      <t xml:space="preserve">Error </t>
    </r>
    <r>
      <rPr>
        <b/>
        <i/>
        <sz val="10"/>
        <color theme="1"/>
        <rFont val="Arial"/>
        <family val="2"/>
      </rPr>
      <t>e</t>
    </r>
    <r>
      <rPr>
        <b/>
        <i/>
        <vertAlign val="subscript"/>
        <sz val="10"/>
        <color theme="1"/>
        <rFont val="Arial"/>
        <family val="2"/>
      </rPr>
      <t>r</t>
    </r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</si>
  <si>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</t>
    </r>
  </si>
  <si>
    <r>
      <t xml:space="preserve">Incertidumbre de calibración </t>
    </r>
    <r>
      <rPr>
        <b/>
        <i/>
        <sz val="10"/>
        <color theme="1"/>
        <rFont val="Arial"/>
        <family val="2"/>
      </rPr>
      <t>U(m</t>
    </r>
    <r>
      <rPr>
        <b/>
        <i/>
        <vertAlign val="subscript"/>
        <sz val="10"/>
        <color theme="1"/>
        <rFont val="Arial"/>
        <family val="2"/>
      </rPr>
      <t>cr</t>
    </r>
    <r>
      <rPr>
        <b/>
        <i/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 xml:space="preserve"> (k=2)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</si>
  <si>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r</t>
    </r>
  </si>
  <si>
    <r>
      <t>Densidad Aire en calibración</t>
    </r>
    <r>
      <rPr>
        <i/>
        <sz val="10"/>
        <color theme="1"/>
        <rFont val="Arial"/>
        <family val="2"/>
      </rPr>
      <t xml:space="preserve"> ρ</t>
    </r>
    <r>
      <rPr>
        <i/>
        <vertAlign val="subscript"/>
        <sz val="10"/>
        <color theme="1"/>
        <rFont val="Arial"/>
        <family val="2"/>
      </rPr>
      <t>a1</t>
    </r>
  </si>
  <si>
    <r>
      <t xml:space="preserve">Densidad aire </t>
    </r>
    <r>
      <rPr>
        <b/>
        <i/>
        <sz val="11"/>
        <color theme="0"/>
        <rFont val="Arial"/>
        <family val="2"/>
      </rPr>
      <t>ρ</t>
    </r>
    <r>
      <rPr>
        <b/>
        <i/>
        <vertAlign val="subscript"/>
        <sz val="11"/>
        <color theme="0"/>
        <rFont val="Arial"/>
        <family val="2"/>
      </rPr>
      <t>a</t>
    </r>
  </si>
  <si>
    <r>
      <t xml:space="preserve">Incertidumbre densidad aire </t>
    </r>
    <r>
      <rPr>
        <b/>
        <i/>
        <sz val="11"/>
        <color theme="0"/>
        <rFont val="Arial"/>
        <family val="2"/>
      </rPr>
      <t>u(ρ</t>
    </r>
    <r>
      <rPr>
        <b/>
        <i/>
        <vertAlign val="subscript"/>
        <sz val="11"/>
        <color theme="0"/>
        <rFont val="Arial"/>
        <family val="2"/>
      </rPr>
      <t>a</t>
    </r>
    <r>
      <rPr>
        <b/>
        <i/>
        <sz val="11"/>
        <color theme="0"/>
        <rFont val="Arial"/>
        <family val="2"/>
      </rPr>
      <t>)</t>
    </r>
  </si>
  <si>
    <r>
      <t>Densidad aire convencional</t>
    </r>
    <r>
      <rPr>
        <b/>
        <sz val="14"/>
        <color theme="0"/>
        <rFont val="Arial"/>
        <family val="2"/>
      </rPr>
      <t xml:space="preserve"> </t>
    </r>
    <r>
      <rPr>
        <i/>
        <sz val="14"/>
        <color theme="0"/>
        <rFont val="Arial"/>
        <family val="2"/>
      </rPr>
      <t>ρ</t>
    </r>
    <r>
      <rPr>
        <i/>
        <vertAlign val="subscript"/>
        <sz val="14"/>
        <color theme="0"/>
        <rFont val="Arial"/>
        <family val="2"/>
      </rPr>
      <t>0</t>
    </r>
  </si>
  <si>
    <r>
      <t>kg.m</t>
    </r>
    <r>
      <rPr>
        <b/>
        <vertAlign val="superscript"/>
        <sz val="11"/>
        <color theme="1"/>
        <rFont val="Arial"/>
        <family val="2"/>
      </rPr>
      <t>-3</t>
    </r>
  </si>
  <si>
    <r>
      <t xml:space="preserve">Masa convencional de referencia </t>
    </r>
    <r>
      <rPr>
        <i/>
        <sz val="11"/>
        <color theme="1"/>
        <rFont val="Arial"/>
        <family val="2"/>
      </rPr>
      <t>m</t>
    </r>
    <r>
      <rPr>
        <i/>
        <vertAlign val="subscript"/>
        <sz val="11"/>
        <color theme="1"/>
        <rFont val="Arial"/>
        <family val="2"/>
      </rPr>
      <t>cr</t>
    </r>
  </si>
  <si>
    <t>Sartorius</t>
  </si>
  <si>
    <r>
      <t>kg/m</t>
    </r>
    <r>
      <rPr>
        <vertAlign val="superscript"/>
        <sz val="11"/>
        <color theme="1"/>
        <rFont val="Times New Roman"/>
        <family val="1"/>
      </rPr>
      <t>3</t>
    </r>
  </si>
  <si>
    <r>
      <t xml:space="preserve">Desviación
</t>
    </r>
    <r>
      <rPr>
        <b/>
        <i/>
        <sz val="11"/>
        <color theme="0"/>
        <rFont val="Arial"/>
        <family val="2"/>
      </rPr>
      <t>s</t>
    </r>
  </si>
  <si>
    <t>B 444195367</t>
  </si>
  <si>
    <t>AJS</t>
  </si>
  <si>
    <t>AKI</t>
  </si>
  <si>
    <t>AKJ</t>
  </si>
  <si>
    <t>AGU</t>
  </si>
  <si>
    <t>AH3</t>
  </si>
  <si>
    <t>AJ1</t>
  </si>
  <si>
    <t>AKA</t>
  </si>
  <si>
    <t>AHL</t>
  </si>
  <si>
    <t>AJG</t>
  </si>
  <si>
    <t>ALZ</t>
  </si>
  <si>
    <t>ALW</t>
  </si>
  <si>
    <t>ACT</t>
  </si>
  <si>
    <t>ABN</t>
  </si>
  <si>
    <t>AC1</t>
  </si>
  <si>
    <t>ABY</t>
  </si>
  <si>
    <t>AB9</t>
  </si>
  <si>
    <t>AAM</t>
  </si>
  <si>
    <t>2*</t>
  </si>
  <si>
    <t>20*</t>
  </si>
  <si>
    <t>200*</t>
  </si>
  <si>
    <t>Rice Lake</t>
  </si>
  <si>
    <t>Mettler Toledo</t>
  </si>
  <si>
    <t>Valor nominal (g)</t>
  </si>
  <si>
    <t>Error (mg)</t>
  </si>
  <si>
    <t>Incertidumbre de calibración (mg)</t>
  </si>
  <si>
    <t>No porta</t>
  </si>
  <si>
    <t>No identifica</t>
  </si>
  <si>
    <t>punto</t>
  </si>
  <si>
    <t>E 2</t>
  </si>
  <si>
    <t>F 1</t>
  </si>
  <si>
    <t xml:space="preserve">F1   1 g  </t>
  </si>
  <si>
    <t xml:space="preserve">F1   2 g  </t>
  </si>
  <si>
    <t xml:space="preserve">F1   2 g punto </t>
  </si>
  <si>
    <t xml:space="preserve">F1   5 g  </t>
  </si>
  <si>
    <t xml:space="preserve">F1   10 g  </t>
  </si>
  <si>
    <t xml:space="preserve">F1   20 g  </t>
  </si>
  <si>
    <t xml:space="preserve">F1   20 g punto </t>
  </si>
  <si>
    <t xml:space="preserve">F1   50 g  </t>
  </si>
  <si>
    <t xml:space="preserve">F1   100 g  </t>
  </si>
  <si>
    <t xml:space="preserve">F1   200 g  </t>
  </si>
  <si>
    <t xml:space="preserve">F1   200 g punto 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</si>
  <si>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</si>
  <si>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</si>
  <si>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</si>
  <si>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</si>
  <si>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</si>
  <si>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 xml:space="preserve">E2   1 g  </t>
  </si>
  <si>
    <t xml:space="preserve">E2   2 g  </t>
  </si>
  <si>
    <t xml:space="preserve">E2   5 g  </t>
  </si>
  <si>
    <t xml:space="preserve">E2   10 g  </t>
  </si>
  <si>
    <t xml:space="preserve">E2   20 g  </t>
  </si>
  <si>
    <t xml:space="preserve">E2   50 g  </t>
  </si>
  <si>
    <t xml:space="preserve">E2   100 g  </t>
  </si>
  <si>
    <t xml:space="preserve">E2   200 g  </t>
  </si>
  <si>
    <t xml:space="preserve">E2   500 g  </t>
  </si>
  <si>
    <t xml:space="preserve">E2   1000 g  </t>
  </si>
  <si>
    <t xml:space="preserve">E2   2000 g  </t>
  </si>
  <si>
    <t xml:space="preserve">E2   5000 g  </t>
  </si>
  <si>
    <t>F1   10000 g</t>
  </si>
  <si>
    <t>F1   20000 g</t>
  </si>
  <si>
    <r>
      <t xml:space="preserve">N° de Ciclos </t>
    </r>
    <r>
      <rPr>
        <b/>
        <sz val="14"/>
        <color theme="1"/>
        <rFont val="Arial"/>
        <family val="2"/>
      </rPr>
      <t>n</t>
    </r>
  </si>
  <si>
    <t>M-008</t>
  </si>
  <si>
    <t>M-007</t>
  </si>
  <si>
    <t>M-006</t>
  </si>
  <si>
    <t>M-005</t>
  </si>
  <si>
    <t>M-009</t>
  </si>
  <si>
    <t>M-001</t>
  </si>
  <si>
    <t>M-002</t>
  </si>
  <si>
    <t>M-003</t>
  </si>
  <si>
    <t>M-004</t>
  </si>
  <si>
    <t>M-016</t>
  </si>
  <si>
    <t>1 kg</t>
  </si>
  <si>
    <t>2 kg</t>
  </si>
  <si>
    <t>5 kg</t>
  </si>
  <si>
    <t>10 kg</t>
  </si>
  <si>
    <t>Pesas</t>
  </si>
  <si>
    <t>Luis Henry Barreto Rojas</t>
  </si>
  <si>
    <t>Elvis Aguirre Romero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</si>
  <si>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</si>
  <si>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</si>
  <si>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</si>
  <si>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</si>
  <si>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</si>
  <si>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</si>
  <si>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Trazabilidad y numero</t>
  </si>
  <si>
    <t>Lufft Opus 20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</si>
  <si>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</si>
  <si>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</si>
  <si>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</si>
  <si>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</si>
  <si>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</si>
  <si>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</si>
  <si>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</si>
  <si>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</si>
  <si>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</si>
  <si>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</si>
  <si>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</si>
  <si>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</si>
  <si>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</si>
  <si>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M-014</t>
  </si>
  <si>
    <t>LH</t>
  </si>
  <si>
    <t>EA</t>
  </si>
  <si>
    <t>20 kg</t>
  </si>
  <si>
    <t xml:space="preserve">Valor Nominal </t>
  </si>
  <si>
    <t xml:space="preserve">F1 R  1 g  </t>
  </si>
  <si>
    <t xml:space="preserve">F1 R  2 g  </t>
  </si>
  <si>
    <t xml:space="preserve">F1 R  2 g punto </t>
  </si>
  <si>
    <t>°C</t>
  </si>
  <si>
    <t>hPa</t>
  </si>
  <si>
    <t xml:space="preserve">  V-002 </t>
  </si>
  <si>
    <t>M-010</t>
  </si>
  <si>
    <t>M-011</t>
  </si>
  <si>
    <t>1 g</t>
  </si>
  <si>
    <t>2 g</t>
  </si>
  <si>
    <t>2 g *</t>
  </si>
  <si>
    <t xml:space="preserve">5 g </t>
  </si>
  <si>
    <t>10 g</t>
  </si>
  <si>
    <t>20 g</t>
  </si>
  <si>
    <t>20 g *</t>
  </si>
  <si>
    <t>50 g</t>
  </si>
  <si>
    <t>100 g</t>
  </si>
  <si>
    <t>200 g</t>
  </si>
  <si>
    <t>200 g *</t>
  </si>
  <si>
    <t>500 g</t>
  </si>
  <si>
    <t>2 kg *</t>
  </si>
  <si>
    <t>Datos de las Pesas Patrón</t>
  </si>
  <si>
    <t>Temperatura</t>
  </si>
  <si>
    <t>0,23.0714.0802.024</t>
  </si>
  <si>
    <t>V-002</t>
  </si>
  <si>
    <t>Humedad</t>
  </si>
  <si>
    <t xml:space="preserve">M-012 </t>
  </si>
  <si>
    <t xml:space="preserve">M-012  </t>
  </si>
  <si>
    <t xml:space="preserve">M-013 </t>
  </si>
  <si>
    <t xml:space="preserve">M-013  </t>
  </si>
  <si>
    <t>CDT CERT-16-EMP-1057-2567</t>
  </si>
  <si>
    <t xml:space="preserve">M-010 </t>
  </si>
  <si>
    <t>0,26.0714.0802.024</t>
  </si>
  <si>
    <t>INM 2148</t>
  </si>
  <si>
    <t xml:space="preserve">M-011 </t>
  </si>
  <si>
    <t>0,22.0714.0802.024</t>
  </si>
  <si>
    <t>INM 1997</t>
  </si>
  <si>
    <t>INM 2147</t>
  </si>
  <si>
    <t xml:space="preserve">Incertidumbre </t>
  </si>
  <si>
    <t>1393 DK</t>
  </si>
  <si>
    <t>1392 DK</t>
  </si>
  <si>
    <t>1405 DK</t>
  </si>
  <si>
    <t>Ciudad de Origen</t>
  </si>
  <si>
    <t>Código interno</t>
  </si>
  <si>
    <t>Código Interno</t>
  </si>
  <si>
    <t>Nombre del Metrólogo</t>
  </si>
  <si>
    <t xml:space="preserve"> Metrólogo de Masa y Volumen</t>
  </si>
  <si>
    <t>Unidad</t>
  </si>
  <si>
    <t>E2   2 g AKJ</t>
  </si>
  <si>
    <t>E2   20 g AKA</t>
  </si>
  <si>
    <t xml:space="preserve">E2   200 g ALW </t>
  </si>
  <si>
    <t>Densidad</t>
  </si>
  <si>
    <t>°C m</t>
  </si>
  <si>
    <t>°C b</t>
  </si>
  <si>
    <t>hPa m</t>
  </si>
  <si>
    <t>hPa b</t>
  </si>
  <si>
    <t>Aleación / material</t>
  </si>
  <si>
    <t>Platino</t>
  </si>
  <si>
    <t>Bronce</t>
  </si>
  <si>
    <t>Acero al carbono</t>
  </si>
  <si>
    <t>Hierro</t>
  </si>
  <si>
    <t>Hierro fundido (blanco)</t>
  </si>
  <si>
    <t>Hierro fundido (gris)</t>
  </si>
  <si>
    <t>Aluminio</t>
  </si>
  <si>
    <t>kg m-3</t>
  </si>
  <si>
    <t xml:space="preserve">± Incertidumbre (k=2) </t>
  </si>
  <si>
    <t>OBSERVACIONES</t>
  </si>
  <si>
    <t>≤ 0,3</t>
  </si>
  <si>
    <t>Distribución</t>
  </si>
  <si>
    <t>Rectangular</t>
  </si>
  <si>
    <t>Normal</t>
  </si>
  <si>
    <t>Condicional incertidumbre dominante</t>
  </si>
  <si>
    <t>SI</t>
  </si>
  <si>
    <t>Incertidumbre dominante</t>
  </si>
  <si>
    <t>Resultado</t>
  </si>
  <si>
    <r>
      <rPr>
        <b/>
        <sz val="12"/>
        <rFont val="Tahoma"/>
        <family val="2"/>
      </rPr>
      <t>≥</t>
    </r>
    <r>
      <rPr>
        <b/>
        <sz val="12"/>
        <rFont val="Arial"/>
        <family val="2"/>
      </rPr>
      <t xml:space="preserve"> 0,3</t>
    </r>
  </si>
  <si>
    <t xml:space="preserve">           </t>
  </si>
  <si>
    <t xml:space="preserve">Incertidumbre masa convencional           </t>
  </si>
  <si>
    <t xml:space="preserve">Masa convencional </t>
  </si>
  <si>
    <t>Código interno       (# de Radicado)</t>
  </si>
  <si>
    <t>Patrón Utilizado en la Calibración - Termohigrómetros</t>
  </si>
  <si>
    <t>Patrón Utilizado en la Calibración - BALANZAS</t>
  </si>
  <si>
    <t>Presión Atmosférica</t>
  </si>
  <si>
    <t>Lista de aleaciones usadas mas comúnmente para las pesas Tabla B.7.metodo F2 NTC 1848/ 2007</t>
  </si>
  <si>
    <t>Níquel plata</t>
  </si>
  <si>
    <t>∞</t>
  </si>
  <si>
    <t>±</t>
  </si>
  <si>
    <t>1500 DK</t>
  </si>
  <si>
    <t>1504 DK</t>
  </si>
  <si>
    <t xml:space="preserve">Acero inoxidable </t>
  </si>
  <si>
    <t>Acero inoxidable.</t>
  </si>
  <si>
    <t>INM 4216</t>
  </si>
  <si>
    <t>INM 4217</t>
  </si>
  <si>
    <t xml:space="preserve"> </t>
  </si>
  <si>
    <t xml:space="preserve">E M P </t>
  </si>
  <si>
    <r>
      <t>Densidad kg/m</t>
    </r>
    <r>
      <rPr>
        <b/>
        <vertAlign val="superscript"/>
        <sz val="12"/>
        <rFont val="Arial"/>
        <family val="2"/>
      </rPr>
      <t>3</t>
    </r>
  </si>
  <si>
    <r>
      <t>Incertidumbre de densidad kg/m</t>
    </r>
    <r>
      <rPr>
        <b/>
        <vertAlign val="superscript"/>
        <sz val="12"/>
        <rFont val="Arial"/>
        <family val="2"/>
      </rPr>
      <t>3</t>
    </r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</si>
  <si>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</si>
  <si>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Valor Nominal </t>
    </r>
    <r>
      <rPr>
        <b/>
        <i/>
        <sz val="12"/>
        <rFont val="Arial"/>
        <family val="2"/>
      </rPr>
      <t>m</t>
    </r>
    <r>
      <rPr>
        <b/>
        <i/>
        <vertAlign val="subscript"/>
        <sz val="12"/>
        <rFont val="Arial"/>
        <family val="2"/>
      </rPr>
      <t xml:space="preserve">Nt  </t>
    </r>
    <r>
      <rPr>
        <b/>
        <i/>
        <sz val="12"/>
        <rFont val="Arial"/>
        <family val="2"/>
      </rPr>
      <t>en g</t>
    </r>
  </si>
  <si>
    <r>
      <t xml:space="preserve">Densidad </t>
    </r>
    <r>
      <rPr>
        <b/>
        <i/>
        <sz val="12"/>
        <rFont val="Arial"/>
        <family val="2"/>
      </rPr>
      <t>ρ</t>
    </r>
    <r>
      <rPr>
        <b/>
        <i/>
        <vertAlign val="subscript"/>
        <sz val="12"/>
        <rFont val="Arial"/>
        <family val="2"/>
      </rPr>
      <t xml:space="preserve">t            </t>
    </r>
    <r>
      <rPr>
        <b/>
        <i/>
        <sz val="12"/>
        <rFont val="Arial"/>
        <family val="2"/>
      </rPr>
      <t>kg/m3</t>
    </r>
  </si>
  <si>
    <r>
      <t>Incertidumbre de densidad U</t>
    </r>
    <r>
      <rPr>
        <b/>
        <i/>
        <sz val="12"/>
        <rFont val="Arial"/>
        <family val="2"/>
      </rPr>
      <t>(ρ</t>
    </r>
    <r>
      <rPr>
        <b/>
        <i/>
        <vertAlign val="subscript"/>
        <sz val="12"/>
        <rFont val="Arial"/>
        <family val="2"/>
      </rPr>
      <t>t</t>
    </r>
    <r>
      <rPr>
        <b/>
        <i/>
        <sz val="12"/>
        <rFont val="Arial"/>
        <family val="2"/>
      </rPr>
      <t>)                             kg/m3</t>
    </r>
  </si>
  <si>
    <r>
      <t xml:space="preserve">Resolución </t>
    </r>
    <r>
      <rPr>
        <b/>
        <i/>
        <sz val="10"/>
        <rFont val="Arial"/>
        <family val="2"/>
      </rPr>
      <t>d</t>
    </r>
  </si>
  <si>
    <r>
      <t>kg m</t>
    </r>
    <r>
      <rPr>
        <vertAlign val="superscript"/>
        <sz val="12"/>
        <rFont val="Arial"/>
        <family val="2"/>
      </rPr>
      <t>-3</t>
    </r>
  </si>
  <si>
    <r>
      <t xml:space="preserve">Incertidumbre de densidad </t>
    </r>
    <r>
      <rPr>
        <b/>
        <i/>
        <sz val="10"/>
        <color theme="1"/>
        <rFont val="Arial"/>
        <family val="2"/>
      </rPr>
      <t>u(ρ</t>
    </r>
    <r>
      <rPr>
        <b/>
        <i/>
        <vertAlign val="subscript"/>
        <sz val="10"/>
        <color theme="1"/>
        <rFont val="Arial"/>
        <family val="2"/>
      </rPr>
      <t>r</t>
    </r>
    <r>
      <rPr>
        <b/>
        <i/>
        <sz val="10"/>
        <color theme="1"/>
        <rFont val="Arial"/>
        <family val="2"/>
      </rPr>
      <t xml:space="preserve">) </t>
    </r>
  </si>
  <si>
    <t>Humedad relativa (% hr)</t>
  </si>
  <si>
    <t xml:space="preserve"> Sustituto del Responsable de la Dirección Técnica</t>
  </si>
  <si>
    <t>Stivinson Córdoba Sánchez</t>
  </si>
  <si>
    <t>Responsable de la Dirección Técnica</t>
  </si>
  <si>
    <t>Grupo de trabajo del laboratorio</t>
  </si>
  <si>
    <t>Roles del grupo de trabajo</t>
  </si>
  <si>
    <t>SC</t>
  </si>
  <si>
    <r>
      <t xml:space="preserve">Incertidumbre </t>
    </r>
    <r>
      <rPr>
        <b/>
        <sz val="10"/>
        <color theme="0"/>
        <rFont val="Calibri"/>
        <family val="2"/>
      </rPr>
      <t>±</t>
    </r>
    <r>
      <rPr>
        <b/>
        <sz val="10"/>
        <color theme="0"/>
        <rFont val="Arial"/>
        <family val="2"/>
      </rPr>
      <t xml:space="preserve">  U (k=2)</t>
    </r>
  </si>
  <si>
    <r>
      <t xml:space="preserve">Unidades en   " °C , % hr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</si>
  <si>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% hr</t>
  </si>
  <si>
    <t>% hr m</t>
  </si>
  <si>
    <t>% hr b</t>
  </si>
  <si>
    <t xml:space="preserve">Promedios Corregidos </t>
  </si>
  <si>
    <t>HOJA DE CÁLCULO PARA COMPROBACIONES INTERMEDIAS DE PESAS</t>
  </si>
  <si>
    <t>Fecha de Ingreso</t>
  </si>
  <si>
    <t>Lugar de comprobación</t>
  </si>
  <si>
    <t>Fecha de comprobación</t>
  </si>
  <si>
    <t>Comprobación N°</t>
  </si>
  <si>
    <t>Información de la comprobación</t>
  </si>
  <si>
    <t>Datos de las Pesas Comprobadas  Laboratorio SIC</t>
  </si>
  <si>
    <t>Fecha de ingreso</t>
  </si>
  <si>
    <t>Ciudad de origen</t>
  </si>
  <si>
    <t>Condiciones ambientales durante la comprobación</t>
  </si>
  <si>
    <t xml:space="preserve">ANÁLISIS DE LOS RESULTADOS OBTENIDOS </t>
  </si>
  <si>
    <t>EMP +</t>
  </si>
  <si>
    <t>EMP -</t>
  </si>
  <si>
    <t>U</t>
  </si>
  <si>
    <t>Valor Indicado</t>
  </si>
  <si>
    <t xml:space="preserve">                     </t>
  </si>
  <si>
    <t>Intervalo de Medición (g) Clase F1 1 g A 20 kg</t>
  </si>
  <si>
    <t xml:space="preserve"> Tabla 1 OIML R 111-1 CLASE F1 </t>
  </si>
  <si>
    <t>EMP + (g)</t>
  </si>
  <si>
    <t>EMP - (g)</t>
  </si>
  <si>
    <t>EMP + (mg)</t>
  </si>
  <si>
    <t>EMP - (mg)</t>
  </si>
  <si>
    <t>Humedad relativa (%hr)</t>
  </si>
  <si>
    <t>k=1,65</t>
  </si>
  <si>
    <t>k= 2,0</t>
  </si>
  <si>
    <t>Comprobación # (Numero consecutivo -codigo Interno-año)</t>
  </si>
  <si>
    <t>Calibración pesa referencia</t>
  </si>
  <si>
    <t>Inestabilidad pesa referencia</t>
  </si>
  <si>
    <t>Densidad  del aire</t>
  </si>
  <si>
    <t>Densidad pesa referencia</t>
  </si>
  <si>
    <t>Corrección por empuje del aire</t>
  </si>
  <si>
    <t>Ciudad</t>
  </si>
  <si>
    <t>Error en masa convencional             (mg)</t>
  </si>
  <si>
    <t>Error en masa convencional (mg)</t>
  </si>
  <si>
    <t>Error en masa convencional
(mg)</t>
  </si>
  <si>
    <t>Grados de libertad</t>
  </si>
  <si>
    <t>Factor de cobertura</t>
  </si>
  <si>
    <t xml:space="preserve">Nivel de Confianza            </t>
  </si>
  <si>
    <t>Aporte a la Incertidumbre</t>
  </si>
  <si>
    <t>F1</t>
  </si>
  <si>
    <t>Número de pesas suministradas para la comprobación:</t>
  </si>
  <si>
    <t xml:space="preserve">E2 20 kg </t>
  </si>
  <si>
    <t>E2</t>
  </si>
  <si>
    <t>Kern</t>
  </si>
  <si>
    <t>G 1938658</t>
  </si>
  <si>
    <t>G1- 204</t>
  </si>
  <si>
    <t>M-019</t>
  </si>
  <si>
    <t>F1 20 kg</t>
  </si>
  <si>
    <t>G 1934093</t>
  </si>
  <si>
    <t>G1- 396</t>
  </si>
  <si>
    <t>M-020</t>
  </si>
  <si>
    <t>F1 20 kg A</t>
  </si>
  <si>
    <t>G 1934095</t>
  </si>
  <si>
    <t>20 A</t>
  </si>
  <si>
    <t>G1- 398</t>
  </si>
  <si>
    <t>M-021</t>
  </si>
  <si>
    <t>F1 20 kg B</t>
  </si>
  <si>
    <t>G 1934094</t>
  </si>
  <si>
    <t>20 B</t>
  </si>
  <si>
    <t>G1- 397</t>
  </si>
  <si>
    <t>M-022</t>
  </si>
  <si>
    <t>F1 10 kg C</t>
  </si>
  <si>
    <t>Accurate</t>
  </si>
  <si>
    <t>10 C</t>
  </si>
  <si>
    <t>M- 4241</t>
  </si>
  <si>
    <t>M-023</t>
  </si>
  <si>
    <t>F1 10 kg D</t>
  </si>
  <si>
    <t>10 D</t>
  </si>
  <si>
    <t>M- 4242</t>
  </si>
  <si>
    <t>M-024</t>
  </si>
  <si>
    <t>F1 5 kg E</t>
  </si>
  <si>
    <t>5 D</t>
  </si>
  <si>
    <t>M- 4240</t>
  </si>
  <si>
    <t>M-025</t>
  </si>
  <si>
    <t xml:space="preserve">V 2 RL.  1 g  </t>
  </si>
  <si>
    <t>No identificado</t>
  </si>
  <si>
    <t xml:space="preserve">V 2 RL. 2 g  </t>
  </si>
  <si>
    <t xml:space="preserve">V 2 RL.  2 g punto </t>
  </si>
  <si>
    <t xml:space="preserve">V 2 RL.  5 g  </t>
  </si>
  <si>
    <t xml:space="preserve">V 2 RL.  10 g  </t>
  </si>
  <si>
    <t xml:space="preserve">V 2 RL.  20 g  </t>
  </si>
  <si>
    <t xml:space="preserve">V 2 RL. 20 g punto </t>
  </si>
  <si>
    <t xml:space="preserve">V 2 RL. 50 g  </t>
  </si>
  <si>
    <t xml:space="preserve">V 2 RL.  100 g  </t>
  </si>
  <si>
    <t xml:space="preserve">V 2 RL.  200 g  </t>
  </si>
  <si>
    <t xml:space="preserve">V 2 RL.  200 g punto </t>
  </si>
  <si>
    <t xml:space="preserve">V 2 RL.  500 g  </t>
  </si>
  <si>
    <t xml:space="preserve">V 2 RL.  1 000 g  </t>
  </si>
  <si>
    <t xml:space="preserve">V 2 RL.  2 000 g  </t>
  </si>
  <si>
    <t xml:space="preserve">V 2 RL.  2 000 g punto </t>
  </si>
  <si>
    <t xml:space="preserve">V 2 RL.  5 000 g  </t>
  </si>
  <si>
    <t>F1   1 g  Acc</t>
  </si>
  <si>
    <t>M-4252</t>
  </si>
  <si>
    <t>M-018</t>
  </si>
  <si>
    <t>F1   2 g  Acc</t>
  </si>
  <si>
    <t>F1   2 g punto Acc</t>
  </si>
  <si>
    <t>2 *</t>
  </si>
  <si>
    <t>F1   5 g  Acc</t>
  </si>
  <si>
    <t>F1   10 g  Acc</t>
  </si>
  <si>
    <t>F1   20 g  Acc</t>
  </si>
  <si>
    <t>F1   20 g punto Acc</t>
  </si>
  <si>
    <t>20 *</t>
  </si>
  <si>
    <t>F1   50 g  Acc</t>
  </si>
  <si>
    <t>F1   100 g  Acc</t>
  </si>
  <si>
    <t>F1   200 g  Acc</t>
  </si>
  <si>
    <t>F1   200 g punto Acc</t>
  </si>
  <si>
    <t>200 *</t>
  </si>
  <si>
    <t>F1   500 g  Acc</t>
  </si>
  <si>
    <t>F1   1 000 g  Acc</t>
  </si>
  <si>
    <t>F1   2 000 g  Acc</t>
  </si>
  <si>
    <t>F1   2 000 g punto Acc</t>
  </si>
  <si>
    <t>F1   5 000 g  Acc</t>
  </si>
  <si>
    <t>INM 4629</t>
  </si>
  <si>
    <t>INM 4630</t>
  </si>
  <si>
    <t>INM 4626</t>
  </si>
  <si>
    <t>2020-07-07 / 2020-7-08 / 2020-05-29</t>
  </si>
  <si>
    <t>INM  4629 - INM 4630 - INM 4626</t>
  </si>
  <si>
    <t>INM 4610</t>
  </si>
  <si>
    <t>INM 4611</t>
  </si>
  <si>
    <t>INM 4625</t>
  </si>
  <si>
    <t>2020-06-18 / 2020-06-19/ 2020-05-29</t>
  </si>
  <si>
    <t>INM-4610, INM 4611 - INM 4625</t>
  </si>
  <si>
    <t>INM 4703</t>
  </si>
  <si>
    <t xml:space="preserve">2019-09-24  / 2019-09-25  / 2020-10-02 </t>
  </si>
  <si>
    <t>INM 4216 - INM 4217 -  INM 4703</t>
  </si>
  <si>
    <t>INM 4608</t>
  </si>
  <si>
    <t>INM 4609</t>
  </si>
  <si>
    <t>INM 4623</t>
  </si>
  <si>
    <t>2020-06-18 2020-06-19- 2020-05-29</t>
  </si>
  <si>
    <t>INM 4608 - INM 4609 -   INM 4623</t>
  </si>
  <si>
    <t>INM 4627</t>
  </si>
  <si>
    <t>INM 4628</t>
  </si>
  <si>
    <t>INM 4624</t>
  </si>
  <si>
    <t>2020-07-07 / 2020-07-08 / 2020-05-29</t>
  </si>
  <si>
    <t>INM-4627-INM 4628-INM 4624</t>
  </si>
  <si>
    <t xml:space="preserve">20 kg </t>
  </si>
  <si>
    <t>E2   2000 g ABY</t>
  </si>
  <si>
    <t>E2 10000 g</t>
  </si>
  <si>
    <t xml:space="preserve">k </t>
  </si>
  <si>
    <t>TUR:Tes de relaciones de Incertidumb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</si>
</sst>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164" formatCode="yyyy\-mm\-dd;@"/>
    <numFmt numFmtId="165" formatCode="0.000"/>
    <numFmt numFmtId="166" formatCode="0.0"/>
    <numFmt numFmtId="167" formatCode="0.00000"/>
    <numFmt numFmtId="168" formatCode="0.0000"/>
    <numFmt numFmtId="169" formatCode="0_ &quot;kg&quot;"/>
    <numFmt numFmtId="170" formatCode="0_ &quot;g&quot;"/>
    <numFmt numFmtId="171" formatCode="0\ &quot;g&quot;"/>
    <numFmt numFmtId="172" formatCode="0\ &quot;g *&quot;"/>
    <numFmt numFmtId="173" formatCode="\1\ &quot;kg&quot;"/>
    <numFmt numFmtId="174" formatCode="\2\ &quot;kg&quot;"/>
    <numFmt numFmtId="175" formatCode="\2\ &quot;kg *&quot;"/>
    <numFmt numFmtId="176" formatCode="\5\ &quot;kg&quot;"/>
    <numFmt numFmtId="177" formatCode="0\ &quot;kg&quot;"/>
    <numFmt numFmtId="178" formatCode="\5\ &quot;kg C&quot;"/>
    <numFmt numFmtId="179" formatCode="0\ &quot;kg C&quot;"/>
    <numFmt numFmtId="180" formatCode="#,##0.0"/>
    <numFmt numFmtId="181" formatCode="0\ &quot;mg&quot;"/>
    <numFmt numFmtId="182" formatCode="0.0\ &quot;mg&quot;"/>
    <numFmt numFmtId="183" formatCode="0.00\ &quot;g&quot;"/>
    <numFmt numFmtId="184" formatCode="#,##0.000"/>
    <numFmt numFmtId="185" formatCode="0\ 000"/>
    <numFmt numFmtId="186" formatCode="0.00\ &quot;mg&quot;"/>
    <numFmt numFmtId="187" formatCode="0.000\ &quot;g&quot;"/>
  </numFmts>
  <fonts count="7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  <font>
      <sz val="11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i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i/>
      <sz val="14"/>
      <color theme="0"/>
      <name val="Arial"/>
      <family val="2"/>
    </font>
    <font>
      <i/>
      <vertAlign val="subscript"/>
      <sz val="14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0" tint="-0.34998626667073579"/>
      <name val="Arial"/>
      <family val="2"/>
    </font>
    <font>
      <sz val="12"/>
      <name val="Calibri"/>
      <family val="2"/>
      <scheme val="minor"/>
    </font>
    <font>
      <b/>
      <sz val="12"/>
      <name val="Tahoma"/>
      <family val="2"/>
    </font>
    <font>
      <b/>
      <sz val="14"/>
      <color theme="1"/>
      <name val="Cambria Math"/>
      <family val="1"/>
    </font>
    <font>
      <b/>
      <sz val="11"/>
      <name val="Tahoma"/>
      <family val="2"/>
    </font>
    <font>
      <b/>
      <sz val="18"/>
      <color theme="1"/>
      <name val="Tahoma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  <scheme val="minor"/>
    </font>
    <font>
      <vertAlign val="superscript"/>
      <sz val="12"/>
      <name val="Arial"/>
      <family val="2"/>
    </font>
    <font>
      <sz val="12"/>
      <name val="Arial Narrow"/>
      <family val="2"/>
    </font>
    <font>
      <sz val="11"/>
      <color theme="1"/>
      <name val="Tahoma"/>
      <family val="2"/>
    </font>
    <font>
      <b/>
      <i/>
      <sz val="12"/>
      <color rgb="FFFF0000"/>
      <name val="Arial"/>
      <family val="2"/>
    </font>
    <font>
      <b/>
      <sz val="10"/>
      <color theme="0"/>
      <name val="Calibri"/>
      <family val="2"/>
    </font>
    <font>
      <sz val="14"/>
      <color theme="0"/>
      <name val="Arial"/>
      <family val="2"/>
    </font>
    <font>
      <b/>
      <sz val="9"/>
      <color indexed="81"/>
      <name val="Tahoma"/>
      <family val="2"/>
    </font>
    <font>
      <b/>
      <i/>
      <sz val="12"/>
      <color theme="0"/>
      <name val="Arial"/>
      <family val="2"/>
    </font>
    <font>
      <sz val="12"/>
      <color theme="0" tint="-0.34998626667073579"/>
      <name val="Arial"/>
      <family val="2"/>
    </font>
    <font>
      <sz val="12"/>
      <color rgb="FFFFFF0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gradientFill degree="90">
        <stop position="0">
          <color rgb="FF7030A0"/>
        </stop>
        <stop position="1">
          <color rgb="FFFFFF00"/>
        </stop>
      </gradientFill>
    </fill>
    <fill>
      <patternFill patternType="solid">
        <fgColor rgb="FF1F4E78"/>
        <bgColor indexed="64"/>
      </patternFill>
    </fill>
    <fill>
      <patternFill patternType="darkTrellis">
        <fgColor auto="1"/>
        <bgColor auto="1"/>
      </patternFill>
    </fill>
    <fill>
      <patternFill patternType="lightGray">
        <fgColor auto="1"/>
        <bgColor auto="1"/>
      </patternFill>
    </fill>
    <fill>
      <patternFill patternType="mediumGray">
        <fgColor auto="1"/>
        <bgColor auto="1"/>
      </patternFill>
    </fill>
    <fill>
      <patternFill patternType="darkDown">
        <fgColor auto="1"/>
        <bgColor auto="1"/>
      </patternFill>
    </fill>
    <fill>
      <patternFill patternType="solid">
        <fgColor rgb="FF8DB4E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auto="1"/>
      </patternFill>
    </fill>
    <fill>
      <gradientFill type="path">
        <stop position="0">
          <color theme="0" tint="-0.25098422193060094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auto="1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2" fontId="3" fillId="13" borderId="0">
      <protection hidden="1"/>
    </xf>
    <xf numFmtId="2" fontId="3" fillId="15" borderId="21">
      <alignment horizontal="center" vertical="center"/>
      <protection hidden="1"/>
    </xf>
    <xf numFmtId="2" fontId="3" fillId="16" borderId="21">
      <alignment horizontal="center" vertical="center"/>
      <protection hidden="1"/>
    </xf>
    <xf numFmtId="2" fontId="3" fillId="17" borderId="21">
      <alignment horizontal="center" vertical="center"/>
      <protection hidden="1"/>
    </xf>
    <xf numFmtId="2" fontId="3" fillId="18" borderId="21">
      <alignment horizontal="center" vertical="center"/>
      <protection hidden="1"/>
    </xf>
    <xf numFmtId="9" fontId="44" fillId="0" borderId="0" applyFont="0" applyFill="0" applyBorder="0" applyAlignment="0" applyProtection="0"/>
    <xf numFmtId="164" fontId="3" fillId="23" borderId="0">
      <alignment horizontal="center" vertical="center"/>
      <protection hidden="1"/>
    </xf>
  </cellStyleXfs>
  <cellXfs count="1105">
    <xf numFmtId="0" fontId="0" fillId="0" borderId="0" xfId="0"/>
    <xf numFmtId="166" fontId="28" fillId="4" borderId="8" xfId="0" applyNumberFormat="1" applyFont="1" applyFill="1" applyBorder="1" applyAlignment="1" applyProtection="1">
      <alignment horizontal="center" vertical="center"/>
      <protection locked="0" hidden="1"/>
    </xf>
    <xf numFmtId="166" fontId="28" fillId="10" borderId="8" xfId="0" applyNumberFormat="1" applyFont="1" applyFill="1" applyBorder="1" applyAlignment="1" applyProtection="1">
      <alignment horizontal="center" vertical="center"/>
      <protection locked="0" hidden="1"/>
    </xf>
    <xf numFmtId="166" fontId="28" fillId="10" borderId="9" xfId="0" applyNumberFormat="1" applyFont="1" applyFill="1" applyBorder="1" applyAlignment="1" applyProtection="1">
      <alignment horizontal="center" vertical="center" wrapText="1"/>
      <protection locked="0" hidden="1"/>
    </xf>
    <xf numFmtId="2" fontId="3" fillId="13" borderId="21" xfId="2" applyBorder="1" applyAlignment="1" applyProtection="1">
      <alignment horizontal="center" vertical="center" wrapText="1"/>
      <protection locked="0" hidden="1"/>
    </xf>
    <xf numFmtId="1" fontId="3" fillId="13" borderId="37" xfId="2" applyNumberFormat="1" applyBorder="1" applyAlignment="1" applyProtection="1">
      <alignment horizontal="center" vertical="center"/>
      <protection locked="0" hidden="1"/>
    </xf>
    <xf numFmtId="2" fontId="3" fillId="13" borderId="21" xfId="2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2" fontId="3" fillId="3" borderId="25" xfId="0" applyNumberFormat="1" applyFont="1" applyFill="1" applyBorder="1" applyAlignment="1" applyProtection="1"/>
    <xf numFmtId="2" fontId="3" fillId="3" borderId="0" xfId="0" applyNumberFormat="1" applyFont="1" applyFill="1" applyBorder="1" applyAlignment="1" applyProtection="1"/>
    <xf numFmtId="2" fontId="3" fillId="0" borderId="0" xfId="0" applyNumberFormat="1" applyFont="1" applyProtection="1"/>
    <xf numFmtId="2" fontId="31" fillId="0" borderId="0" xfId="0" applyNumberFormat="1" applyFont="1" applyProtection="1"/>
    <xf numFmtId="2" fontId="32" fillId="8" borderId="7" xfId="1" applyNumberFormat="1" applyFont="1" applyFill="1" applyBorder="1" applyAlignment="1" applyProtection="1">
      <alignment horizontal="center" vertical="center" wrapText="1"/>
    </xf>
    <xf numFmtId="2" fontId="32" fillId="8" borderId="8" xfId="1" applyNumberFormat="1" applyFont="1" applyFill="1" applyBorder="1" applyAlignment="1" applyProtection="1">
      <alignment horizontal="center" vertical="center" wrapText="1"/>
    </xf>
    <xf numFmtId="2" fontId="8" fillId="8" borderId="8" xfId="1" applyNumberFormat="1" applyFont="1" applyFill="1" applyBorder="1" applyAlignment="1" applyProtection="1">
      <alignment horizontal="center" vertical="center" wrapText="1"/>
    </xf>
    <xf numFmtId="2" fontId="7" fillId="8" borderId="8" xfId="0" applyNumberFormat="1" applyFont="1" applyFill="1" applyBorder="1" applyAlignment="1" applyProtection="1">
      <alignment horizontal="center" vertical="center" wrapText="1"/>
    </xf>
    <xf numFmtId="14" fontId="4" fillId="12" borderId="42" xfId="0" applyNumberFormat="1" applyFont="1" applyFill="1" applyBorder="1" applyAlignment="1" applyProtection="1">
      <alignment horizontal="center" vertical="center" wrapText="1"/>
    </xf>
    <xf numFmtId="0" fontId="4" fillId="12" borderId="42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Protection="1"/>
    <xf numFmtId="2" fontId="3" fillId="3" borderId="0" xfId="0" applyNumberFormat="1" applyFont="1" applyFill="1" applyBorder="1" applyProtection="1"/>
    <xf numFmtId="0" fontId="3" fillId="0" borderId="0" xfId="0" applyFont="1" applyBorder="1" applyProtection="1"/>
    <xf numFmtId="0" fontId="7" fillId="6" borderId="11" xfId="0" applyFont="1" applyFill="1" applyBorder="1" applyAlignment="1" applyProtection="1">
      <alignment vertical="center"/>
    </xf>
    <xf numFmtId="0" fontId="4" fillId="9" borderId="31" xfId="0" applyFont="1" applyFill="1" applyBorder="1" applyAlignment="1" applyProtection="1">
      <alignment horizontal="center" vertical="center"/>
    </xf>
    <xf numFmtId="0" fontId="7" fillId="8" borderId="31" xfId="0" applyFont="1" applyFill="1" applyBorder="1" applyAlignment="1" applyProtection="1">
      <alignment vertical="center"/>
    </xf>
    <xf numFmtId="0" fontId="4" fillId="9" borderId="32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7" fillId="6" borderId="31" xfId="0" applyFont="1" applyFill="1" applyBorder="1" applyAlignment="1" applyProtection="1">
      <alignment vertical="center"/>
    </xf>
    <xf numFmtId="0" fontId="3" fillId="3" borderId="0" xfId="0" applyFont="1" applyFill="1" applyBorder="1" applyProtection="1"/>
    <xf numFmtId="0" fontId="7" fillId="6" borderId="3" xfId="0" applyFont="1" applyFill="1" applyBorder="1" applyAlignment="1" applyProtection="1">
      <alignment vertical="center"/>
    </xf>
    <xf numFmtId="0" fontId="4" fillId="9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vertical="center"/>
    </xf>
    <xf numFmtId="0" fontId="4" fillId="9" borderId="10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164" fontId="4" fillId="9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29" fillId="9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9" borderId="5" xfId="0" applyFont="1" applyFill="1" applyBorder="1" applyAlignment="1" applyProtection="1">
      <alignment horizontal="center" vertical="center"/>
    </xf>
    <xf numFmtId="0" fontId="29" fillId="9" borderId="6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vertical="center"/>
    </xf>
    <xf numFmtId="0" fontId="7" fillId="6" borderId="12" xfId="0" applyFont="1" applyFill="1" applyBorder="1" applyAlignment="1" applyProtection="1">
      <alignment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3" borderId="0" xfId="0" applyFont="1" applyFill="1" applyBorder="1" applyProtection="1"/>
    <xf numFmtId="0" fontId="14" fillId="0" borderId="0" xfId="0" applyFont="1" applyProtection="1"/>
    <xf numFmtId="0" fontId="15" fillId="3" borderId="24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/>
    </xf>
    <xf numFmtId="0" fontId="15" fillId="3" borderId="23" xfId="0" applyFont="1" applyFill="1" applyBorder="1" applyAlignment="1" applyProtection="1">
      <alignment horizontal="center" vertical="center"/>
    </xf>
    <xf numFmtId="0" fontId="14" fillId="3" borderId="25" xfId="0" applyFont="1" applyFill="1" applyBorder="1" applyProtection="1"/>
    <xf numFmtId="0" fontId="14" fillId="3" borderId="27" xfId="0" applyFont="1" applyFill="1" applyBorder="1" applyProtection="1"/>
    <xf numFmtId="0" fontId="23" fillId="6" borderId="37" xfId="0" applyFont="1" applyFill="1" applyBorder="1" applyAlignment="1" applyProtection="1">
      <alignment horizontal="center" vertical="center"/>
    </xf>
    <xf numFmtId="0" fontId="14" fillId="3" borderId="28" xfId="0" applyFont="1" applyFill="1" applyBorder="1" applyAlignment="1" applyProtection="1">
      <alignment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40" xfId="0" applyFont="1" applyFill="1" applyBorder="1" applyAlignment="1" applyProtection="1">
      <alignment horizontal="center" vertical="center"/>
    </xf>
    <xf numFmtId="167" fontId="3" fillId="6" borderId="2" xfId="0" applyNumberFormat="1" applyFont="1" applyFill="1" applyBorder="1" applyAlignment="1" applyProtection="1">
      <alignment horizontal="center" vertical="center"/>
    </xf>
    <xf numFmtId="0" fontId="23" fillId="6" borderId="41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top" wrapText="1"/>
    </xf>
    <xf numFmtId="0" fontId="5" fillId="5" borderId="42" xfId="0" applyFont="1" applyFill="1" applyBorder="1" applyAlignment="1" applyProtection="1">
      <alignment horizontal="center" vertical="center" wrapText="1"/>
    </xf>
    <xf numFmtId="165" fontId="14" fillId="3" borderId="0" xfId="0" applyNumberFormat="1" applyFont="1" applyFill="1" applyBorder="1" applyProtection="1"/>
    <xf numFmtId="168" fontId="23" fillId="6" borderId="4" xfId="0" applyNumberFormat="1" applyFont="1" applyFill="1" applyBorder="1" applyAlignment="1" applyProtection="1">
      <alignment horizontal="center" vertical="center"/>
    </xf>
    <xf numFmtId="0" fontId="23" fillId="6" borderId="34" xfId="0" applyFont="1" applyFill="1" applyBorder="1" applyAlignment="1" applyProtection="1">
      <alignment horizontal="center" vertical="center"/>
    </xf>
    <xf numFmtId="2" fontId="23" fillId="6" borderId="4" xfId="0" applyNumberFormat="1" applyFont="1" applyFill="1" applyBorder="1" applyAlignment="1" applyProtection="1">
      <alignment horizontal="center" vertical="center"/>
    </xf>
    <xf numFmtId="0" fontId="3" fillId="6" borderId="55" xfId="0" applyFont="1" applyFill="1" applyBorder="1" applyAlignment="1" applyProtection="1">
      <alignment horizontal="center" wrapText="1"/>
    </xf>
    <xf numFmtId="0" fontId="3" fillId="6" borderId="51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 wrapText="1"/>
    </xf>
    <xf numFmtId="0" fontId="25" fillId="6" borderId="51" xfId="0" applyFont="1" applyFill="1" applyBorder="1" applyAlignment="1" applyProtection="1">
      <alignment horizontal="center" vertical="center"/>
    </xf>
    <xf numFmtId="167" fontId="3" fillId="6" borderId="35" xfId="0" applyNumberFormat="1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/>
    </xf>
    <xf numFmtId="165" fontId="3" fillId="3" borderId="0" xfId="0" applyNumberFormat="1" applyFont="1" applyFill="1" applyAlignment="1" applyProtection="1">
      <alignment horizontal="center" vertical="center" wrapText="1"/>
    </xf>
    <xf numFmtId="165" fontId="3" fillId="8" borderId="2" xfId="0" applyNumberFormat="1" applyFont="1" applyFill="1" applyBorder="1" applyAlignment="1" applyProtection="1">
      <alignment horizontal="center" vertical="center"/>
    </xf>
    <xf numFmtId="165" fontId="3" fillId="6" borderId="2" xfId="0" applyNumberFormat="1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vertical="center" wrapText="1"/>
    </xf>
    <xf numFmtId="0" fontId="14" fillId="3" borderId="23" xfId="0" applyFont="1" applyFill="1" applyBorder="1" applyAlignment="1" applyProtection="1">
      <alignment vertical="center" wrapText="1"/>
    </xf>
    <xf numFmtId="1" fontId="3" fillId="6" borderId="3" xfId="0" applyNumberFormat="1" applyFont="1" applyFill="1" applyBorder="1" applyAlignment="1" applyProtection="1">
      <alignment horizontal="center" vertical="center"/>
    </xf>
    <xf numFmtId="0" fontId="23" fillId="6" borderId="58" xfId="0" applyFont="1" applyFill="1" applyBorder="1" applyAlignment="1" applyProtection="1">
      <alignment horizontal="center" vertical="center" wrapText="1"/>
    </xf>
    <xf numFmtId="0" fontId="23" fillId="6" borderId="57" xfId="0" applyFont="1" applyFill="1" applyBorder="1" applyAlignment="1" applyProtection="1">
      <alignment vertical="center" wrapText="1"/>
    </xf>
    <xf numFmtId="166" fontId="3" fillId="8" borderId="12" xfId="0" applyNumberFormat="1" applyFont="1" applyFill="1" applyBorder="1" applyAlignment="1" applyProtection="1">
      <alignment horizontal="center" vertical="center" wrapText="1"/>
    </xf>
    <xf numFmtId="166" fontId="3" fillId="8" borderId="5" xfId="0" applyNumberFormat="1" applyFont="1" applyFill="1" applyBorder="1" applyAlignment="1" applyProtection="1">
      <alignment horizontal="center" vertical="center" wrapText="1"/>
    </xf>
    <xf numFmtId="166" fontId="3" fillId="8" borderId="6" xfId="0" applyNumberFormat="1" applyFont="1" applyFill="1" applyBorder="1" applyAlignment="1" applyProtection="1">
      <alignment horizontal="center" vertical="center" wrapText="1"/>
    </xf>
    <xf numFmtId="1" fontId="3" fillId="8" borderId="12" xfId="0" applyNumberFormat="1" applyFont="1" applyFill="1" applyBorder="1" applyAlignment="1" applyProtection="1">
      <alignment horizontal="center" vertical="center"/>
    </xf>
    <xf numFmtId="165" fontId="3" fillId="8" borderId="5" xfId="0" applyNumberFormat="1" applyFont="1" applyFill="1" applyBorder="1" applyAlignment="1" applyProtection="1">
      <alignment horizontal="center" vertical="center"/>
    </xf>
    <xf numFmtId="167" fontId="3" fillId="8" borderId="5" xfId="0" applyNumberFormat="1" applyFont="1" applyFill="1" applyBorder="1" applyAlignment="1" applyProtection="1">
      <alignment horizontal="center" vertical="center"/>
    </xf>
    <xf numFmtId="166" fontId="3" fillId="8" borderId="11" xfId="0" applyNumberFormat="1" applyFont="1" applyFill="1" applyBorder="1" applyAlignment="1" applyProtection="1">
      <alignment horizontal="center" vertical="center" wrapText="1"/>
    </xf>
    <xf numFmtId="166" fontId="3" fillId="8" borderId="31" xfId="0" applyNumberFormat="1" applyFont="1" applyFill="1" applyBorder="1" applyAlignment="1" applyProtection="1">
      <alignment horizontal="center" vertical="center" wrapText="1"/>
    </xf>
    <xf numFmtId="166" fontId="3" fillId="8" borderId="32" xfId="0" applyNumberFormat="1" applyFont="1" applyFill="1" applyBorder="1" applyAlignment="1" applyProtection="1">
      <alignment horizontal="center" vertical="center" wrapText="1"/>
    </xf>
    <xf numFmtId="0" fontId="23" fillId="6" borderId="26" xfId="0" applyFont="1" applyFill="1" applyBorder="1" applyAlignment="1" applyProtection="1">
      <alignment horizontal="center" vertical="center" wrapText="1"/>
    </xf>
    <xf numFmtId="0" fontId="40" fillId="6" borderId="65" xfId="0" applyFont="1" applyFill="1" applyBorder="1" applyAlignment="1" applyProtection="1">
      <alignment horizontal="center" vertical="center" wrapText="1"/>
    </xf>
    <xf numFmtId="0" fontId="7" fillId="6" borderId="46" xfId="0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 wrapText="1"/>
    </xf>
    <xf numFmtId="0" fontId="31" fillId="9" borderId="8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left" vertical="center" wrapText="1"/>
    </xf>
    <xf numFmtId="1" fontId="31" fillId="9" borderId="8" xfId="0" applyNumberFormat="1" applyFont="1" applyFill="1" applyBorder="1" applyAlignment="1" applyProtection="1">
      <alignment horizontal="center" vertical="center" wrapText="1"/>
    </xf>
    <xf numFmtId="0" fontId="31" fillId="6" borderId="8" xfId="0" applyFont="1" applyFill="1" applyBorder="1" applyAlignment="1" applyProtection="1">
      <alignment horizontal="left" vertical="center" wrapText="1"/>
    </xf>
    <xf numFmtId="0" fontId="31" fillId="9" borderId="46" xfId="0" applyFont="1" applyFill="1" applyBorder="1" applyAlignment="1" applyProtection="1">
      <alignment horizontal="center" vertical="center" wrapText="1"/>
    </xf>
    <xf numFmtId="168" fontId="39" fillId="8" borderId="13" xfId="0" applyNumberFormat="1" applyFont="1" applyFill="1" applyBorder="1" applyAlignment="1" applyProtection="1">
      <alignment horizontal="center" vertical="center"/>
    </xf>
    <xf numFmtId="0" fontId="23" fillId="8" borderId="43" xfId="0" applyFont="1" applyFill="1" applyBorder="1" applyAlignment="1" applyProtection="1">
      <alignment horizontal="center" vertical="center"/>
    </xf>
    <xf numFmtId="2" fontId="3" fillId="0" borderId="0" xfId="0" applyNumberFormat="1" applyFont="1" applyProtection="1">
      <protection hidden="1"/>
    </xf>
    <xf numFmtId="2" fontId="3" fillId="0" borderId="0" xfId="0" applyNumberFormat="1" applyFont="1" applyFill="1" applyBorder="1" applyProtection="1">
      <protection hidden="1"/>
    </xf>
    <xf numFmtId="2" fontId="3" fillId="3" borderId="0" xfId="0" applyNumberFormat="1" applyFont="1" applyFill="1" applyBorder="1" applyProtection="1">
      <protection hidden="1"/>
    </xf>
    <xf numFmtId="2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Protection="1">
      <protection hidden="1"/>
    </xf>
    <xf numFmtId="2" fontId="23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6" fillId="0" borderId="0" xfId="0" applyFont="1" applyProtection="1"/>
    <xf numFmtId="166" fontId="23" fillId="6" borderId="15" xfId="0" applyNumberFormat="1" applyFont="1" applyFill="1" applyBorder="1" applyAlignment="1" applyProtection="1">
      <alignment horizontal="center" vertical="center"/>
    </xf>
    <xf numFmtId="0" fontId="49" fillId="0" borderId="0" xfId="0" applyFont="1"/>
    <xf numFmtId="1" fontId="34" fillId="8" borderId="11" xfId="0" applyNumberFormat="1" applyFont="1" applyFill="1" applyBorder="1" applyAlignment="1" applyProtection="1">
      <alignment horizontal="center" vertical="center"/>
    </xf>
    <xf numFmtId="0" fontId="9" fillId="8" borderId="31" xfId="0" applyFont="1" applyFill="1" applyBorder="1" applyAlignment="1" applyProtection="1">
      <alignment horizontal="center" vertical="center"/>
    </xf>
    <xf numFmtId="0" fontId="36" fillId="8" borderId="31" xfId="0" applyFont="1" applyFill="1" applyBorder="1" applyAlignment="1" applyProtection="1">
      <alignment horizontal="center" vertical="center"/>
    </xf>
    <xf numFmtId="167" fontId="3" fillId="6" borderId="39" xfId="0" applyNumberFormat="1" applyFont="1" applyFill="1" applyBorder="1" applyAlignment="1" applyProtection="1">
      <alignment horizontal="center" vertical="center"/>
    </xf>
    <xf numFmtId="167" fontId="3" fillId="6" borderId="18" xfId="0" applyNumberFormat="1" applyFont="1" applyFill="1" applyBorder="1" applyAlignment="1" applyProtection="1">
      <alignment horizontal="center" vertical="center"/>
    </xf>
    <xf numFmtId="167" fontId="3" fillId="6" borderId="36" xfId="0" applyNumberFormat="1" applyFont="1" applyFill="1" applyBorder="1" applyAlignment="1" applyProtection="1">
      <alignment horizontal="center" vertical="center"/>
    </xf>
    <xf numFmtId="2" fontId="35" fillId="0" borderId="0" xfId="0" applyNumberFormat="1" applyFont="1" applyAlignment="1" applyProtection="1">
      <alignment horizontal="center"/>
      <protection hidden="1"/>
    </xf>
    <xf numFmtId="167" fontId="28" fillId="4" borderId="48" xfId="0" applyNumberFormat="1" applyFont="1" applyFill="1" applyBorder="1" applyAlignment="1" applyProtection="1">
      <alignment horizontal="center" vertical="center"/>
      <protection locked="0" hidden="1"/>
    </xf>
    <xf numFmtId="0" fontId="23" fillId="6" borderId="9" xfId="0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35" fillId="8" borderId="37" xfId="0" applyFont="1" applyFill="1" applyBorder="1" applyAlignment="1" applyProtection="1">
      <alignment horizontal="center" vertical="center" wrapText="1"/>
      <protection hidden="1"/>
    </xf>
    <xf numFmtId="0" fontId="35" fillId="8" borderId="21" xfId="0" applyFont="1" applyFill="1" applyBorder="1" applyAlignment="1" applyProtection="1">
      <alignment horizontal="center" vertical="center" wrapText="1"/>
      <protection hidden="1"/>
    </xf>
    <xf numFmtId="0" fontId="23" fillId="9" borderId="15" xfId="0" applyFont="1" applyFill="1" applyBorder="1" applyAlignment="1" applyProtection="1">
      <alignment wrapText="1"/>
    </xf>
    <xf numFmtId="0" fontId="23" fillId="9" borderId="15" xfId="0" applyFont="1" applyFill="1" applyBorder="1" applyAlignment="1" applyProtection="1">
      <alignment vertical="center" wrapText="1"/>
    </xf>
    <xf numFmtId="0" fontId="23" fillId="9" borderId="43" xfId="0" applyFont="1" applyFill="1" applyBorder="1" applyAlignment="1" applyProtection="1">
      <alignment horizontal="center" vertical="center"/>
    </xf>
    <xf numFmtId="0" fontId="23" fillId="9" borderId="34" xfId="0" applyFont="1" applyFill="1" applyBorder="1" applyAlignment="1" applyProtection="1">
      <alignment horizontal="center" vertical="center"/>
    </xf>
    <xf numFmtId="0" fontId="23" fillId="8" borderId="34" xfId="0" applyFont="1" applyFill="1" applyBorder="1" applyAlignment="1" applyProtection="1">
      <alignment horizontal="center" vertical="center"/>
    </xf>
    <xf numFmtId="1" fontId="23" fillId="8" borderId="9" xfId="0" applyNumberFormat="1" applyFont="1" applyFill="1" applyBorder="1" applyAlignment="1" applyProtection="1">
      <alignment horizontal="center" vertical="center"/>
      <protection hidden="1"/>
    </xf>
    <xf numFmtId="165" fontId="23" fillId="8" borderId="21" xfId="0" applyNumberFormat="1" applyFont="1" applyFill="1" applyBorder="1" applyAlignment="1" applyProtection="1">
      <alignment horizontal="center" vertical="center"/>
    </xf>
    <xf numFmtId="1" fontId="50" fillId="8" borderId="48" xfId="0" applyNumberFormat="1" applyFont="1" applyFill="1" applyBorder="1" applyAlignment="1" applyProtection="1">
      <alignment horizontal="center" vertical="center"/>
      <protection hidden="1"/>
    </xf>
    <xf numFmtId="1" fontId="50" fillId="8" borderId="33" xfId="0" applyNumberFormat="1" applyFont="1" applyFill="1" applyBorder="1" applyAlignment="1" applyProtection="1">
      <alignment horizontal="center" vertical="center"/>
      <protection hidden="1"/>
    </xf>
    <xf numFmtId="1" fontId="50" fillId="8" borderId="10" xfId="0" applyNumberFormat="1" applyFont="1" applyFill="1" applyBorder="1" applyAlignment="1" applyProtection="1">
      <alignment horizontal="center" vertical="center"/>
      <protection hidden="1"/>
    </xf>
    <xf numFmtId="1" fontId="35" fillId="8" borderId="21" xfId="0" applyNumberFormat="1" applyFont="1" applyFill="1" applyBorder="1" applyAlignment="1" applyProtection="1">
      <alignment horizontal="center" vertical="center" wrapText="1"/>
      <protection hidden="1"/>
    </xf>
    <xf numFmtId="2" fontId="35" fillId="8" borderId="21" xfId="0" applyNumberFormat="1" applyFont="1" applyFill="1" applyBorder="1" applyAlignment="1" applyProtection="1">
      <alignment horizontal="center" vertical="center"/>
    </xf>
    <xf numFmtId="0" fontId="35" fillId="8" borderId="21" xfId="0" applyFont="1" applyFill="1" applyBorder="1" applyAlignment="1" applyProtection="1">
      <alignment horizontal="center" vertical="center"/>
    </xf>
    <xf numFmtId="0" fontId="38" fillId="8" borderId="11" xfId="0" applyFont="1" applyFill="1" applyBorder="1" applyAlignment="1" applyProtection="1">
      <alignment horizontal="center" vertical="center" wrapText="1"/>
      <protection hidden="1"/>
    </xf>
    <xf numFmtId="0" fontId="48" fillId="8" borderId="31" xfId="0" applyFont="1" applyFill="1" applyBorder="1" applyAlignment="1" applyProtection="1">
      <alignment horizontal="center" vertical="center" wrapText="1"/>
      <protection hidden="1"/>
    </xf>
    <xf numFmtId="0" fontId="38" fillId="8" borderId="12" xfId="0" applyFont="1" applyFill="1" applyBorder="1" applyAlignment="1" applyProtection="1">
      <alignment horizontal="center" vertical="center" wrapText="1"/>
      <protection hidden="1"/>
    </xf>
    <xf numFmtId="0" fontId="38" fillId="8" borderId="5" xfId="0" applyFont="1" applyFill="1" applyBorder="1" applyAlignment="1" applyProtection="1">
      <alignment horizontal="center" vertical="center" wrapText="1"/>
      <protection hidden="1"/>
    </xf>
    <xf numFmtId="0" fontId="4" fillId="8" borderId="21" xfId="0" applyFont="1" applyFill="1" applyBorder="1" applyAlignment="1" applyProtection="1">
      <alignment horizontal="center" vertical="center" wrapText="1"/>
      <protection hidden="1"/>
    </xf>
    <xf numFmtId="0" fontId="4" fillId="8" borderId="15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164" fontId="52" fillId="3" borderId="1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64" fontId="52" fillId="0" borderId="28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165" fontId="5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>
      <alignment horizontal="center" vertical="center"/>
    </xf>
    <xf numFmtId="2" fontId="5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5" xfId="0" applyFont="1" applyFill="1" applyBorder="1" applyAlignment="1" applyProtection="1">
      <alignment horizontal="center" vertical="center" wrapText="1"/>
      <protection locked="0"/>
    </xf>
    <xf numFmtId="1" fontId="5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Protection="1"/>
    <xf numFmtId="0" fontId="37" fillId="0" borderId="0" xfId="0" applyFont="1" applyBorder="1" applyProtection="1"/>
    <xf numFmtId="0" fontId="37" fillId="0" borderId="5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20" xfId="0" applyFont="1" applyBorder="1" applyProtection="1"/>
    <xf numFmtId="0" fontId="16" fillId="0" borderId="0" xfId="0" applyFont="1" applyBorder="1" applyAlignment="1" applyProtection="1">
      <alignment vertical="center" textRotation="90"/>
    </xf>
    <xf numFmtId="0" fontId="52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/>
    <xf numFmtId="0" fontId="37" fillId="0" borderId="27" xfId="0" applyFont="1" applyBorder="1" applyProtection="1"/>
    <xf numFmtId="0" fontId="37" fillId="0" borderId="22" xfId="0" applyFont="1" applyBorder="1" applyAlignment="1" applyProtection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65" fontId="37" fillId="3" borderId="2" xfId="0" applyNumberFormat="1" applyFont="1" applyFill="1" applyBorder="1" applyAlignment="1">
      <alignment horizontal="center" vertical="center"/>
    </xf>
    <xf numFmtId="0" fontId="37" fillId="0" borderId="28" xfId="0" applyFont="1" applyBorder="1" applyProtection="1"/>
    <xf numFmtId="166" fontId="37" fillId="3" borderId="2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70" fontId="57" fillId="0" borderId="3" xfId="0" applyNumberFormat="1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169" fontId="57" fillId="0" borderId="3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70" fontId="37" fillId="0" borderId="3" xfId="0" applyNumberFormat="1" applyFont="1" applyFill="1" applyBorder="1" applyAlignment="1">
      <alignment horizontal="center" vertical="center"/>
    </xf>
    <xf numFmtId="0" fontId="37" fillId="0" borderId="20" xfId="0" applyFont="1" applyBorder="1" applyAlignment="1" applyProtection="1">
      <alignment horizontal="center"/>
    </xf>
    <xf numFmtId="0" fontId="37" fillId="0" borderId="28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3" fontId="52" fillId="0" borderId="0" xfId="0" applyNumberFormat="1" applyFont="1" applyFill="1" applyBorder="1" applyAlignment="1" applyProtection="1">
      <alignment horizontal="center" vertical="center" wrapText="1"/>
    </xf>
    <xf numFmtId="164" fontId="52" fillId="0" borderId="0" xfId="0" applyNumberFormat="1" applyFont="1" applyFill="1" applyBorder="1" applyAlignment="1" applyProtection="1">
      <alignment horizontal="center" vertical="center"/>
    </xf>
    <xf numFmtId="14" fontId="52" fillId="0" borderId="0" xfId="0" applyNumberFormat="1" applyFont="1" applyFill="1" applyBorder="1" applyAlignment="1" applyProtection="1">
      <alignment horizontal="center" vertical="center" wrapText="1"/>
    </xf>
    <xf numFmtId="0" fontId="47" fillId="21" borderId="31" xfId="0" applyFont="1" applyFill="1" applyBorder="1" applyAlignment="1">
      <alignment horizontal="center" vertical="center" wrapText="1"/>
    </xf>
    <xf numFmtId="0" fontId="47" fillId="21" borderId="2" xfId="0" applyFont="1" applyFill="1" applyBorder="1" applyAlignment="1">
      <alignment horizontal="center" vertical="center" wrapText="1"/>
    </xf>
    <xf numFmtId="0" fontId="47" fillId="21" borderId="36" xfId="0" applyFont="1" applyFill="1" applyBorder="1" applyAlignment="1">
      <alignment horizontal="center" vertical="center" wrapText="1"/>
    </xf>
    <xf numFmtId="0" fontId="47" fillId="21" borderId="5" xfId="0" applyFont="1" applyFill="1" applyBorder="1" applyAlignment="1">
      <alignment vertical="center" wrapText="1"/>
    </xf>
    <xf numFmtId="169" fontId="37" fillId="0" borderId="3" xfId="0" applyNumberFormat="1" applyFont="1" applyBorder="1" applyAlignment="1">
      <alignment horizontal="center" vertical="center"/>
    </xf>
    <xf numFmtId="0" fontId="37" fillId="0" borderId="24" xfId="0" applyFont="1" applyBorder="1" applyProtection="1"/>
    <xf numFmtId="0" fontId="37" fillId="0" borderId="25" xfId="0" applyFont="1" applyBorder="1" applyProtection="1"/>
    <xf numFmtId="169" fontId="37" fillId="0" borderId="12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37" fillId="0" borderId="52" xfId="0" applyFont="1" applyBorder="1" applyProtection="1"/>
    <xf numFmtId="0" fontId="37" fillId="0" borderId="27" xfId="0" applyFont="1" applyBorder="1" applyAlignment="1" applyProtection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7" xfId="0" applyFont="1" applyBorder="1" applyAlignment="1" applyProtection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3" fillId="6" borderId="39" xfId="0" applyFont="1" applyFill="1" applyBorder="1" applyAlignment="1" applyProtection="1">
      <alignment horizontal="center" vertical="center"/>
    </xf>
    <xf numFmtId="0" fontId="23" fillId="6" borderId="32" xfId="0" applyFont="1" applyFill="1" applyBorder="1" applyAlignment="1" applyProtection="1">
      <alignment horizontal="center" vertical="center"/>
    </xf>
    <xf numFmtId="167" fontId="3" fillId="6" borderId="32" xfId="0" applyNumberFormat="1" applyFont="1" applyFill="1" applyBorder="1" applyAlignment="1" applyProtection="1">
      <alignment horizontal="center" vertical="center"/>
    </xf>
    <xf numFmtId="167" fontId="3" fillId="6" borderId="10" xfId="0" applyNumberFormat="1" applyFont="1" applyFill="1" applyBorder="1" applyAlignment="1" applyProtection="1">
      <alignment horizontal="center" vertical="center"/>
    </xf>
    <xf numFmtId="167" fontId="3" fillId="6" borderId="6" xfId="0" applyNumberFormat="1" applyFont="1" applyFill="1" applyBorder="1" applyAlignment="1" applyProtection="1">
      <alignment horizontal="center" vertical="center"/>
    </xf>
    <xf numFmtId="0" fontId="62" fillId="0" borderId="0" xfId="0" applyFont="1" applyAlignment="1" applyProtection="1">
      <alignment vertical="center"/>
    </xf>
    <xf numFmtId="164" fontId="28" fillId="13" borderId="21" xfId="2" applyNumberFormat="1" applyFont="1" applyBorder="1" applyAlignment="1" applyProtection="1">
      <alignment horizontal="center" vertical="center" wrapText="1"/>
      <protection locked="0" hidden="1"/>
    </xf>
    <xf numFmtId="0" fontId="3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4" fontId="52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164" fontId="52" fillId="0" borderId="2" xfId="0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164" fontId="52" fillId="3" borderId="2" xfId="0" applyNumberFormat="1" applyFont="1" applyFill="1" applyBorder="1" applyAlignment="1">
      <alignment horizontal="center" vertical="center" wrapText="1"/>
    </xf>
    <xf numFmtId="164" fontId="4" fillId="12" borderId="42" xfId="0" applyNumberFormat="1" applyFont="1" applyFill="1" applyBorder="1" applyAlignment="1" applyProtection="1">
      <alignment horizontal="center" vertical="center" wrapText="1"/>
    </xf>
    <xf numFmtId="185" fontId="4" fillId="9" borderId="2" xfId="0" applyNumberFormat="1" applyFont="1" applyFill="1" applyBorder="1" applyAlignment="1" applyProtection="1">
      <alignment horizontal="center" vertical="center"/>
    </xf>
    <xf numFmtId="166" fontId="31" fillId="9" borderId="65" xfId="0" applyNumberFormat="1" applyFont="1" applyFill="1" applyBorder="1" applyAlignment="1" applyProtection="1">
      <alignment horizontal="center" vertical="center" wrapText="1"/>
    </xf>
    <xf numFmtId="166" fontId="3" fillId="10" borderId="21" xfId="0" applyNumberFormat="1" applyFont="1" applyFill="1" applyBorder="1" applyAlignment="1" applyProtection="1">
      <alignment horizontal="center" vertical="center"/>
      <protection locked="0" hidden="1"/>
    </xf>
    <xf numFmtId="166" fontId="39" fillId="8" borderId="2" xfId="0" applyNumberFormat="1" applyFont="1" applyFill="1" applyBorder="1" applyAlignment="1" applyProtection="1">
      <alignment horizontal="center" vertical="center"/>
    </xf>
    <xf numFmtId="166" fontId="39" fillId="8" borderId="5" xfId="0" applyNumberFormat="1" applyFont="1" applyFill="1" applyBorder="1" applyAlignment="1" applyProtection="1">
      <alignment horizontal="center" vertical="center"/>
    </xf>
    <xf numFmtId="166" fontId="23" fillId="6" borderId="2" xfId="0" applyNumberFormat="1" applyFont="1" applyFill="1" applyBorder="1" applyAlignment="1" applyProtection="1">
      <alignment horizontal="center" vertical="center"/>
    </xf>
    <xf numFmtId="166" fontId="23" fillId="6" borderId="22" xfId="0" applyNumberFormat="1" applyFont="1" applyFill="1" applyBorder="1" applyAlignment="1" applyProtection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1" fontId="4" fillId="9" borderId="2" xfId="0" applyNumberFormat="1" applyFont="1" applyFill="1" applyBorder="1" applyAlignment="1" applyProtection="1">
      <alignment horizontal="center" vertical="center"/>
    </xf>
    <xf numFmtId="2" fontId="23" fillId="8" borderId="5" xfId="0" applyNumberFormat="1" applyFont="1" applyFill="1" applyBorder="1" applyAlignment="1" applyProtection="1">
      <alignment horizontal="center" vertical="center"/>
    </xf>
    <xf numFmtId="2" fontId="39" fillId="8" borderId="5" xfId="0" applyNumberFormat="1" applyFont="1" applyFill="1" applyBorder="1" applyAlignment="1" applyProtection="1">
      <alignment horizontal="center" vertical="center"/>
    </xf>
    <xf numFmtId="0" fontId="42" fillId="11" borderId="8" xfId="0" applyFont="1" applyFill="1" applyBorder="1" applyAlignment="1">
      <alignment horizontal="center" vertical="center"/>
    </xf>
    <xf numFmtId="0" fontId="42" fillId="11" borderId="9" xfId="0" applyFont="1" applyFill="1" applyBorder="1" applyAlignment="1">
      <alignment horizontal="center" vertical="center"/>
    </xf>
    <xf numFmtId="0" fontId="42" fillId="11" borderId="49" xfId="0" applyFont="1" applyFill="1" applyBorder="1" applyAlignment="1">
      <alignment horizontal="center" vertical="center"/>
    </xf>
    <xf numFmtId="0" fontId="42" fillId="11" borderId="47" xfId="0" applyFont="1" applyFill="1" applyBorder="1" applyAlignment="1">
      <alignment horizontal="center" vertical="center"/>
    </xf>
    <xf numFmtId="0" fontId="42" fillId="11" borderId="47" xfId="0" applyFont="1" applyFill="1" applyBorder="1" applyAlignment="1">
      <alignment horizontal="center" vertical="center" wrapText="1"/>
    </xf>
    <xf numFmtId="0" fontId="42" fillId="11" borderId="47" xfId="0" applyFont="1" applyFill="1" applyBorder="1" applyAlignment="1" applyProtection="1">
      <alignment horizontal="center" vertical="center" wrapText="1"/>
    </xf>
    <xf numFmtId="0" fontId="42" fillId="11" borderId="50" xfId="0" applyFont="1" applyFill="1" applyBorder="1" applyAlignment="1">
      <alignment horizontal="center" vertical="center" wrapText="1"/>
    </xf>
    <xf numFmtId="185" fontId="37" fillId="0" borderId="2" xfId="0" applyNumberFormat="1" applyFont="1" applyBorder="1" applyAlignment="1">
      <alignment horizontal="center" vertical="center"/>
    </xf>
    <xf numFmtId="185" fontId="37" fillId="0" borderId="31" xfId="0" applyNumberFormat="1" applyFont="1" applyBorder="1" applyAlignment="1">
      <alignment horizontal="center" vertical="center"/>
    </xf>
    <xf numFmtId="185" fontId="37" fillId="0" borderId="5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vertical="top" textRotation="90"/>
    </xf>
    <xf numFmtId="49" fontId="28" fillId="23" borderId="2" xfId="8" applyNumberFormat="1" applyFont="1" applyBorder="1" applyProtection="1">
      <alignment horizontal="center" vertical="center"/>
      <protection locked="0" hidden="1"/>
    </xf>
    <xf numFmtId="1" fontId="5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2" xfId="0" applyFont="1" applyFill="1" applyBorder="1" applyAlignment="1" applyProtection="1">
      <alignment horizontal="center" vertical="center" wrapText="1"/>
      <protection locked="0"/>
    </xf>
    <xf numFmtId="185" fontId="28" fillId="22" borderId="2" xfId="2" applyNumberFormat="1" applyFont="1" applyFill="1" applyBorder="1" applyAlignment="1" applyProtection="1">
      <alignment horizontal="center" vertical="center"/>
      <protection locked="0" hidden="1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8" fillId="4" borderId="32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32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48" xfId="0" applyNumberFormat="1" applyFont="1" applyFill="1" applyBorder="1" applyAlignment="1" applyProtection="1">
      <alignment horizontal="center" vertical="center"/>
      <protection locked="0" hidden="1"/>
    </xf>
    <xf numFmtId="167" fontId="28" fillId="4" borderId="10" xfId="0" applyNumberFormat="1" applyFont="1" applyFill="1" applyBorder="1" applyAlignment="1" applyProtection="1">
      <alignment horizontal="center" vertical="center"/>
      <protection locked="0" hidden="1"/>
    </xf>
    <xf numFmtId="167" fontId="28" fillId="4" borderId="6" xfId="0" applyNumberFormat="1" applyFont="1" applyFill="1" applyBorder="1" applyAlignment="1" applyProtection="1">
      <alignment horizontal="center" vertical="center"/>
      <protection locked="0" hidden="1"/>
    </xf>
    <xf numFmtId="0" fontId="4" fillId="9" borderId="10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164" fontId="52" fillId="0" borderId="5" xfId="0" applyNumberFormat="1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164" fontId="54" fillId="3" borderId="5" xfId="0" applyNumberFormat="1" applyFont="1" applyFill="1" applyBorder="1" applyAlignment="1">
      <alignment horizontal="center" vertical="center" wrapText="1"/>
    </xf>
    <xf numFmtId="2" fontId="28" fillId="13" borderId="15" xfId="2" applyFont="1" applyBorder="1" applyAlignment="1" applyProtection="1">
      <alignment horizontal="center" vertical="center" wrapText="1"/>
      <protection locked="0"/>
    </xf>
    <xf numFmtId="2" fontId="28" fillId="22" borderId="51" xfId="2" applyFont="1" applyFill="1" applyBorder="1" applyAlignment="1" applyProtection="1">
      <alignment horizontal="center" vertical="center" wrapText="1"/>
      <protection locked="0" hidden="1"/>
    </xf>
    <xf numFmtId="2" fontId="28" fillId="22" borderId="18" xfId="2" applyFont="1" applyFill="1" applyBorder="1" applyAlignment="1" applyProtection="1">
      <alignment horizontal="center" vertical="center" wrapText="1"/>
      <protection locked="0" hidden="1"/>
    </xf>
    <xf numFmtId="0" fontId="52" fillId="0" borderId="18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2" fontId="3" fillId="0" borderId="21" xfId="2" applyFill="1" applyBorder="1" applyAlignment="1">
      <alignment horizontal="center" vertical="center"/>
      <protection hidden="1"/>
    </xf>
    <xf numFmtId="0" fontId="52" fillId="0" borderId="66" xfId="0" applyNumberFormat="1" applyFont="1" applyFill="1" applyBorder="1" applyAlignment="1">
      <alignment horizontal="center" vertical="center" wrapText="1"/>
    </xf>
    <xf numFmtId="171" fontId="52" fillId="0" borderId="66" xfId="0" applyNumberFormat="1" applyFont="1" applyFill="1" applyBorder="1" applyAlignment="1">
      <alignment horizontal="center" vertical="center" wrapText="1"/>
    </xf>
    <xf numFmtId="172" fontId="52" fillId="0" borderId="66" xfId="0" applyNumberFormat="1" applyFont="1" applyFill="1" applyBorder="1" applyAlignment="1">
      <alignment horizontal="center" vertical="center" wrapText="1"/>
    </xf>
    <xf numFmtId="173" fontId="52" fillId="0" borderId="40" xfId="0" applyNumberFormat="1" applyFont="1" applyFill="1" applyBorder="1" applyAlignment="1">
      <alignment horizontal="center" vertical="center" wrapText="1"/>
    </xf>
    <xf numFmtId="174" fontId="52" fillId="0" borderId="40" xfId="0" applyNumberFormat="1" applyFont="1" applyFill="1" applyBorder="1" applyAlignment="1">
      <alignment horizontal="center" vertical="center" wrapText="1"/>
    </xf>
    <xf numFmtId="175" fontId="52" fillId="0" borderId="40" xfId="0" applyNumberFormat="1" applyFont="1" applyFill="1" applyBorder="1" applyAlignment="1">
      <alignment horizontal="center" vertical="center" wrapText="1"/>
    </xf>
    <xf numFmtId="176" fontId="52" fillId="0" borderId="40" xfId="0" applyNumberFormat="1" applyFont="1" applyFill="1" applyBorder="1" applyAlignment="1">
      <alignment horizontal="center" vertical="center" wrapText="1"/>
    </xf>
    <xf numFmtId="177" fontId="52" fillId="0" borderId="40" xfId="0" applyNumberFormat="1" applyFont="1" applyFill="1" applyBorder="1" applyAlignment="1">
      <alignment horizontal="center" vertical="center" wrapText="1"/>
    </xf>
    <xf numFmtId="178" fontId="52" fillId="0" borderId="40" xfId="0" applyNumberFormat="1" applyFont="1" applyFill="1" applyBorder="1" applyAlignment="1">
      <alignment horizontal="center" vertical="center" wrapText="1"/>
    </xf>
    <xf numFmtId="179" fontId="52" fillId="0" borderId="40" xfId="0" applyNumberFormat="1" applyFont="1" applyFill="1" applyBorder="1" applyAlignment="1">
      <alignment horizontal="center" vertical="center" wrapText="1"/>
    </xf>
    <xf numFmtId="0" fontId="52" fillId="0" borderId="68" xfId="0" applyNumberFormat="1" applyFont="1" applyFill="1" applyBorder="1" applyAlignment="1">
      <alignment horizontal="center" vertical="center" wrapText="1"/>
    </xf>
    <xf numFmtId="2" fontId="28" fillId="0" borderId="41" xfId="2" applyFont="1" applyFill="1" applyBorder="1" applyAlignment="1">
      <alignment horizontal="center" vertical="center" wrapText="1"/>
      <protection hidden="1"/>
    </xf>
    <xf numFmtId="1" fontId="52" fillId="0" borderId="2" xfId="0" applyNumberFormat="1" applyFont="1" applyFill="1" applyBorder="1" applyAlignment="1" applyProtection="1">
      <alignment horizontal="center" vertical="center" wrapText="1"/>
    </xf>
    <xf numFmtId="185" fontId="52" fillId="0" borderId="2" xfId="0" applyNumberFormat="1" applyFont="1" applyFill="1" applyBorder="1" applyAlignment="1" applyProtection="1">
      <alignment horizontal="center" vertical="center" wrapText="1"/>
    </xf>
    <xf numFmtId="0" fontId="23" fillId="6" borderId="10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167" fontId="28" fillId="4" borderId="18" xfId="0" applyNumberFormat="1" applyFont="1" applyFill="1" applyBorder="1" applyAlignment="1" applyProtection="1">
      <alignment horizontal="center" vertical="center"/>
      <protection locked="0" hidden="1"/>
    </xf>
    <xf numFmtId="167" fontId="28" fillId="4" borderId="36" xfId="0" applyNumberFormat="1" applyFont="1" applyFill="1" applyBorder="1" applyAlignment="1" applyProtection="1">
      <alignment horizontal="center" vertical="center"/>
      <protection locked="0" hidden="1"/>
    </xf>
    <xf numFmtId="0" fontId="23" fillId="6" borderId="6" xfId="0" applyFont="1" applyFill="1" applyBorder="1" applyAlignment="1" applyProtection="1">
      <alignment horizontal="center" vertical="center"/>
    </xf>
    <xf numFmtId="167" fontId="28" fillId="4" borderId="51" xfId="0" applyNumberFormat="1" applyFont="1" applyFill="1" applyBorder="1" applyAlignment="1" applyProtection="1">
      <alignment horizontal="center" vertical="center"/>
      <protection locked="0" hidden="1"/>
    </xf>
    <xf numFmtId="1" fontId="28" fillId="13" borderId="21" xfId="2" applyNumberFormat="1" applyFont="1" applyBorder="1" applyAlignment="1" applyProtection="1">
      <alignment horizontal="center" vertical="center" wrapText="1"/>
      <protection locked="0" hidden="1"/>
    </xf>
    <xf numFmtId="1" fontId="4" fillId="12" borderId="42" xfId="0" applyNumberFormat="1" applyFont="1" applyFill="1" applyBorder="1" applyAlignment="1" applyProtection="1">
      <alignment horizontal="center" vertical="center" wrapText="1"/>
    </xf>
    <xf numFmtId="0" fontId="35" fillId="3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2" fontId="3" fillId="3" borderId="0" xfId="0" applyNumberFormat="1" applyFont="1" applyFill="1" applyBorder="1" applyAlignment="1" applyProtection="1">
      <alignment horizontal="center" vertical="center"/>
      <protection hidden="1"/>
    </xf>
    <xf numFmtId="186" fontId="37" fillId="24" borderId="2" xfId="0" applyNumberFormat="1" applyFont="1" applyFill="1" applyBorder="1" applyAlignment="1">
      <alignment horizontal="center" vertical="center"/>
    </xf>
    <xf numFmtId="186" fontId="37" fillId="24" borderId="10" xfId="0" applyNumberFormat="1" applyFont="1" applyFill="1" applyBorder="1" applyAlignment="1">
      <alignment horizontal="center" vertical="center"/>
    </xf>
    <xf numFmtId="182" fontId="37" fillId="24" borderId="2" xfId="0" applyNumberFormat="1" applyFont="1" applyFill="1" applyBorder="1" applyAlignment="1">
      <alignment horizontal="center" vertical="center"/>
    </xf>
    <xf numFmtId="182" fontId="37" fillId="24" borderId="10" xfId="0" applyNumberFormat="1" applyFont="1" applyFill="1" applyBorder="1" applyAlignment="1">
      <alignment horizontal="center" vertical="center"/>
    </xf>
    <xf numFmtId="181" fontId="37" fillId="24" borderId="10" xfId="0" applyNumberFormat="1" applyFont="1" applyFill="1" applyBorder="1" applyAlignment="1">
      <alignment horizontal="center" vertical="center"/>
    </xf>
    <xf numFmtId="181" fontId="37" fillId="24" borderId="2" xfId="0" applyNumberFormat="1" applyFont="1" applyFill="1" applyBorder="1" applyAlignment="1">
      <alignment horizontal="center" vertical="center"/>
    </xf>
    <xf numFmtId="165" fontId="28" fillId="4" borderId="6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51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18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10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36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6" xfId="0" applyNumberFormat="1" applyFont="1" applyFill="1" applyBorder="1" applyAlignment="1" applyProtection="1">
      <alignment horizontal="center" vertical="center"/>
      <protection locked="0" hidden="1"/>
    </xf>
    <xf numFmtId="166" fontId="28" fillId="4" borderId="48" xfId="0" applyNumberFormat="1" applyFont="1" applyFill="1" applyBorder="1" applyAlignment="1" applyProtection="1">
      <alignment horizontal="center" vertical="center"/>
      <protection locked="0" hidden="1"/>
    </xf>
    <xf numFmtId="183" fontId="37" fillId="24" borderId="6" xfId="0" applyNumberFormat="1" applyFont="1" applyFill="1" applyBorder="1" applyAlignment="1">
      <alignment horizontal="center" vertical="center"/>
    </xf>
    <xf numFmtId="2" fontId="28" fillId="4" borderId="11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3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73" xfId="0" applyNumberFormat="1" applyFont="1" applyFill="1" applyBorder="1" applyAlignment="1" applyProtection="1">
      <alignment horizontal="center" vertical="center"/>
      <protection locked="0" hidden="1"/>
    </xf>
    <xf numFmtId="2" fontId="28" fillId="4" borderId="12" xfId="0" applyNumberFormat="1" applyFont="1" applyFill="1" applyBorder="1" applyAlignment="1" applyProtection="1">
      <alignment horizontal="center" vertical="center"/>
      <protection locked="0" hidden="1"/>
    </xf>
    <xf numFmtId="2" fontId="3" fillId="21" borderId="0" xfId="0" applyNumberFormat="1" applyFont="1" applyFill="1" applyProtection="1">
      <protection hidden="1"/>
    </xf>
    <xf numFmtId="0" fontId="14" fillId="21" borderId="0" xfId="0" applyFont="1" applyFill="1" applyBorder="1" applyProtection="1"/>
    <xf numFmtId="2" fontId="23" fillId="21" borderId="11" xfId="0" applyNumberFormat="1" applyFont="1" applyFill="1" applyBorder="1" applyAlignment="1" applyProtection="1">
      <alignment horizontal="center" vertical="center" wrapText="1"/>
      <protection hidden="1"/>
    </xf>
    <xf numFmtId="2" fontId="23" fillId="21" borderId="31" xfId="0" applyNumberFormat="1" applyFont="1" applyFill="1" applyBorder="1" applyAlignment="1" applyProtection="1">
      <alignment horizontal="center" vertical="center"/>
      <protection hidden="1"/>
    </xf>
    <xf numFmtId="0" fontId="23" fillId="21" borderId="31" xfId="0" applyFont="1" applyFill="1" applyBorder="1" applyAlignment="1" applyProtection="1">
      <alignment horizontal="center" vertical="center"/>
    </xf>
    <xf numFmtId="0" fontId="23" fillId="21" borderId="32" xfId="0" applyFont="1" applyFill="1" applyBorder="1" applyAlignment="1" applyProtection="1">
      <alignment horizontal="center" vertical="center"/>
    </xf>
    <xf numFmtId="2" fontId="23" fillId="21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21" borderId="20" xfId="0" applyNumberFormat="1" applyFont="1" applyFill="1" applyBorder="1" applyProtection="1">
      <protection hidden="1"/>
    </xf>
    <xf numFmtId="2" fontId="3" fillId="21" borderId="0" xfId="0" applyNumberFormat="1" applyFont="1" applyFill="1" applyBorder="1" applyProtection="1">
      <protection hidden="1"/>
    </xf>
    <xf numFmtId="0" fontId="23" fillId="21" borderId="2" xfId="0" applyFont="1" applyFill="1" applyBorder="1" applyAlignment="1" applyProtection="1">
      <alignment horizontal="center" vertical="center"/>
    </xf>
    <xf numFmtId="0" fontId="23" fillId="21" borderId="10" xfId="0" applyFont="1" applyFill="1" applyBorder="1" applyAlignment="1" applyProtection="1">
      <alignment horizontal="center" vertical="center"/>
    </xf>
    <xf numFmtId="2" fontId="23" fillId="21" borderId="3" xfId="0" applyNumberFormat="1" applyFont="1" applyFill="1" applyBorder="1" applyAlignment="1" applyProtection="1">
      <alignment horizontal="center" vertical="center"/>
      <protection hidden="1"/>
    </xf>
    <xf numFmtId="2" fontId="23" fillId="21" borderId="2" xfId="0" applyNumberFormat="1" applyFont="1" applyFill="1" applyBorder="1" applyAlignment="1" applyProtection="1">
      <alignment horizontal="center" vertical="center"/>
      <protection hidden="1"/>
    </xf>
    <xf numFmtId="2" fontId="3" fillId="21" borderId="52" xfId="0" applyNumberFormat="1" applyFont="1" applyFill="1" applyBorder="1" applyProtection="1">
      <protection hidden="1"/>
    </xf>
    <xf numFmtId="2" fontId="3" fillId="21" borderId="27" xfId="0" applyNumberFormat="1" applyFont="1" applyFill="1" applyBorder="1" applyProtection="1">
      <protection hidden="1"/>
    </xf>
    <xf numFmtId="0" fontId="23" fillId="21" borderId="5" xfId="0" applyFont="1" applyFill="1" applyBorder="1" applyAlignment="1" applyProtection="1">
      <alignment horizontal="center" vertical="center"/>
    </xf>
    <xf numFmtId="0" fontId="23" fillId="21" borderId="6" xfId="0" applyFont="1" applyFill="1" applyBorder="1" applyAlignment="1" applyProtection="1">
      <alignment horizontal="center" vertical="center"/>
    </xf>
    <xf numFmtId="165" fontId="28" fillId="4" borderId="11" xfId="0" applyNumberFormat="1" applyFont="1" applyFill="1" applyBorder="1" applyAlignment="1" applyProtection="1">
      <alignment horizontal="center" vertical="center"/>
      <protection locked="0" hidden="1"/>
    </xf>
    <xf numFmtId="165" fontId="28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8" fillId="4" borderId="73" xfId="0" applyNumberFormat="1" applyFont="1" applyFill="1" applyBorder="1" applyAlignment="1" applyProtection="1">
      <alignment horizontal="center" vertical="center"/>
      <protection locked="0" hidden="1"/>
    </xf>
    <xf numFmtId="165" fontId="28" fillId="4" borderId="12" xfId="0" applyNumberFormat="1" applyFont="1" applyFill="1" applyBorder="1" applyAlignment="1" applyProtection="1">
      <alignment horizontal="center" vertical="center"/>
      <protection locked="0" hidden="1"/>
    </xf>
    <xf numFmtId="2" fontId="23" fillId="21" borderId="2" xfId="0" applyNumberFormat="1" applyFont="1" applyFill="1" applyBorder="1" applyAlignment="1" applyProtection="1">
      <alignment horizontal="center" vertical="center"/>
    </xf>
    <xf numFmtId="2" fontId="23" fillId="21" borderId="10" xfId="0" applyNumberFormat="1" applyFont="1" applyFill="1" applyBorder="1" applyAlignment="1" applyProtection="1">
      <alignment horizontal="center" vertical="center"/>
    </xf>
    <xf numFmtId="2" fontId="23" fillId="21" borderId="5" xfId="0" applyNumberFormat="1" applyFont="1" applyFill="1" applyBorder="1" applyAlignment="1" applyProtection="1">
      <alignment horizontal="center" vertical="center"/>
    </xf>
    <xf numFmtId="2" fontId="23" fillId="21" borderId="6" xfId="0" applyNumberFormat="1" applyFont="1" applyFill="1" applyBorder="1" applyAlignment="1" applyProtection="1">
      <alignment horizontal="center" vertical="center"/>
    </xf>
    <xf numFmtId="166" fontId="23" fillId="21" borderId="2" xfId="0" applyNumberFormat="1" applyFont="1" applyFill="1" applyBorder="1" applyAlignment="1" applyProtection="1">
      <alignment horizontal="center" vertical="center"/>
    </xf>
    <xf numFmtId="166" fontId="23" fillId="21" borderId="10" xfId="0" applyNumberFormat="1" applyFont="1" applyFill="1" applyBorder="1" applyAlignment="1" applyProtection="1">
      <alignment horizontal="center" vertical="center"/>
    </xf>
    <xf numFmtId="166" fontId="23" fillId="21" borderId="5" xfId="0" applyNumberFormat="1" applyFont="1" applyFill="1" applyBorder="1" applyAlignment="1" applyProtection="1">
      <alignment horizontal="center" vertical="center"/>
    </xf>
    <xf numFmtId="166" fontId="23" fillId="21" borderId="6" xfId="0" applyNumberFormat="1" applyFont="1" applyFill="1" applyBorder="1" applyAlignment="1" applyProtection="1">
      <alignment horizontal="center" vertical="center"/>
    </xf>
    <xf numFmtId="166" fontId="23" fillId="21" borderId="3" xfId="0" applyNumberFormat="1" applyFont="1" applyFill="1" applyBorder="1" applyAlignment="1" applyProtection="1">
      <alignment horizontal="center" vertical="center"/>
      <protection hidden="1"/>
    </xf>
    <xf numFmtId="166" fontId="23" fillId="21" borderId="2" xfId="0" applyNumberFormat="1" applyFont="1" applyFill="1" applyBorder="1" applyAlignment="1" applyProtection="1">
      <alignment horizontal="center" vertical="center"/>
      <protection hidden="1"/>
    </xf>
    <xf numFmtId="166" fontId="28" fillId="4" borderId="11" xfId="0" applyNumberFormat="1" applyFont="1" applyFill="1" applyBorder="1" applyAlignment="1" applyProtection="1">
      <alignment horizontal="center" vertical="center"/>
      <protection locked="0" hidden="1"/>
    </xf>
    <xf numFmtId="166" fontId="28" fillId="4" borderId="32" xfId="0" applyNumberFormat="1" applyFont="1" applyFill="1" applyBorder="1" applyAlignment="1" applyProtection="1">
      <alignment horizontal="center" vertical="center"/>
      <protection locked="0" hidden="1"/>
    </xf>
    <xf numFmtId="166" fontId="28" fillId="4" borderId="44" xfId="0" applyNumberFormat="1" applyFont="1" applyFill="1" applyBorder="1" applyAlignment="1" applyProtection="1">
      <alignment horizontal="center" vertical="center"/>
      <protection locked="0" hidden="1"/>
    </xf>
    <xf numFmtId="166" fontId="28" fillId="4" borderId="42" xfId="0" applyNumberFormat="1" applyFont="1" applyFill="1" applyBorder="1" applyAlignment="1" applyProtection="1">
      <alignment horizontal="center" vertical="center"/>
      <protection locked="0" hidden="1"/>
    </xf>
    <xf numFmtId="166" fontId="28" fillId="4" borderId="53" xfId="0" applyNumberFormat="1" applyFont="1" applyFill="1" applyBorder="1" applyAlignment="1" applyProtection="1">
      <alignment horizontal="center" vertical="center"/>
      <protection locked="0" hidden="1"/>
    </xf>
    <xf numFmtId="164" fontId="28" fillId="23" borderId="48" xfId="8" applyFont="1" applyBorder="1" applyAlignment="1" applyProtection="1">
      <alignment horizontal="center" vertical="center" wrapText="1"/>
      <protection locked="0" hidden="1"/>
    </xf>
    <xf numFmtId="16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6" xfId="0" applyNumberFormat="1" applyFont="1" applyFill="1" applyBorder="1" applyAlignment="1">
      <alignment horizontal="center" vertical="center" wrapText="1"/>
    </xf>
    <xf numFmtId="2" fontId="28" fillId="13" borderId="21" xfId="2" applyFont="1" applyBorder="1" applyAlignment="1" applyProtection="1">
      <alignment horizontal="center" vertical="center" wrapText="1"/>
      <protection locked="0"/>
    </xf>
    <xf numFmtId="2" fontId="28" fillId="13" borderId="21" xfId="2" applyFont="1" applyBorder="1" applyAlignment="1" applyProtection="1">
      <alignment horizontal="center" vertical="center" wrapText="1"/>
      <protection hidden="1"/>
    </xf>
    <xf numFmtId="0" fontId="38" fillId="8" borderId="32" xfId="0" applyFont="1" applyFill="1" applyBorder="1" applyAlignment="1" applyProtection="1">
      <alignment horizontal="center" vertical="center" wrapText="1"/>
      <protection hidden="1"/>
    </xf>
    <xf numFmtId="0" fontId="38" fillId="8" borderId="6" xfId="0" applyFont="1" applyFill="1" applyBorder="1" applyAlignment="1" applyProtection="1">
      <alignment horizontal="center" vertical="center" wrapText="1"/>
      <protection hidden="1"/>
    </xf>
    <xf numFmtId="166" fontId="9" fillId="8" borderId="31" xfId="0" applyNumberFormat="1" applyFont="1" applyFill="1" applyBorder="1" applyAlignment="1" applyProtection="1">
      <alignment horizontal="center" vertical="center" wrapText="1"/>
    </xf>
    <xf numFmtId="168" fontId="39" fillId="21" borderId="13" xfId="0" applyNumberFormat="1" applyFont="1" applyFill="1" applyBorder="1" applyAlignment="1" applyProtection="1">
      <alignment horizontal="center" vertical="center"/>
    </xf>
    <xf numFmtId="168" fontId="23" fillId="21" borderId="4" xfId="0" applyNumberFormat="1" applyFont="1" applyFill="1" applyBorder="1" applyAlignment="1" applyProtection="1">
      <alignment horizontal="center" vertical="center"/>
    </xf>
    <xf numFmtId="0" fontId="23" fillId="8" borderId="14" xfId="0" applyFont="1" applyFill="1" applyBorder="1" applyAlignment="1">
      <alignment horizontal="center" vertical="center" wrapText="1"/>
    </xf>
    <xf numFmtId="2" fontId="23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23" fillId="8" borderId="15" xfId="0" applyFont="1" applyFill="1" applyBorder="1" applyAlignment="1">
      <alignment horizontal="center" vertical="center" wrapText="1"/>
    </xf>
    <xf numFmtId="166" fontId="41" fillId="8" borderId="14" xfId="0" applyNumberFormat="1" applyFont="1" applyFill="1" applyBorder="1" applyAlignment="1" applyProtection="1">
      <alignment horizontal="center" vertical="center"/>
      <protection hidden="1"/>
    </xf>
    <xf numFmtId="2" fontId="41" fillId="8" borderId="21" xfId="0" applyNumberFormat="1" applyFont="1" applyFill="1" applyBorder="1" applyAlignment="1">
      <alignment horizontal="center" vertical="center"/>
    </xf>
    <xf numFmtId="9" fontId="23" fillId="8" borderId="15" xfId="7" applyFont="1" applyFill="1" applyBorder="1" applyAlignment="1" applyProtection="1">
      <alignment horizontal="center" vertical="center"/>
    </xf>
    <xf numFmtId="0" fontId="14" fillId="0" borderId="0" xfId="0" applyFont="1"/>
    <xf numFmtId="20" fontId="3" fillId="4" borderId="7" xfId="0" applyNumberFormat="1" applyFont="1" applyFill="1" applyBorder="1" applyAlignment="1" applyProtection="1">
      <alignment horizontal="center" vertical="center"/>
      <protection locked="0" hidden="1"/>
    </xf>
    <xf numFmtId="0" fontId="23" fillId="6" borderId="7" xfId="0" applyFont="1" applyFill="1" applyBorder="1" applyAlignment="1">
      <alignment vertical="center" wrapText="1"/>
    </xf>
    <xf numFmtId="166" fontId="7" fillId="6" borderId="8" xfId="0" applyNumberFormat="1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vertical="center" wrapText="1"/>
    </xf>
    <xf numFmtId="166" fontId="7" fillId="6" borderId="9" xfId="0" applyNumberFormat="1" applyFont="1" applyFill="1" applyBorder="1" applyAlignment="1">
      <alignment horizontal="right" vertical="center" wrapText="1"/>
    </xf>
    <xf numFmtId="0" fontId="35" fillId="21" borderId="64" xfId="0" applyFont="1" applyFill="1" applyBorder="1" applyAlignment="1">
      <alignment horizontal="center" vertical="center"/>
    </xf>
    <xf numFmtId="0" fontId="67" fillId="11" borderId="64" xfId="0" applyFont="1" applyFill="1" applyBorder="1" applyAlignment="1">
      <alignment horizontal="right" vertical="center" wrapText="1"/>
    </xf>
    <xf numFmtId="2" fontId="35" fillId="8" borderId="21" xfId="0" applyNumberFormat="1" applyFont="1" applyFill="1" applyBorder="1" applyAlignment="1" applyProtection="1">
      <alignment horizontal="center" vertical="center" wrapText="1"/>
      <protection hidden="1"/>
    </xf>
    <xf numFmtId="2" fontId="35" fillId="8" borderId="21" xfId="0" applyNumberFormat="1" applyFont="1" applyFill="1" applyBorder="1" applyAlignment="1">
      <alignment horizontal="center" vertical="center"/>
    </xf>
    <xf numFmtId="0" fontId="35" fillId="8" borderId="23" xfId="0" applyFont="1" applyFill="1" applyBorder="1" applyAlignment="1" applyProtection="1">
      <alignment horizontal="center" vertical="center" wrapText="1"/>
      <protection hidden="1"/>
    </xf>
    <xf numFmtId="0" fontId="35" fillId="8" borderId="15" xfId="0" applyFont="1" applyFill="1" applyBorder="1" applyAlignment="1" applyProtection="1">
      <alignment horizontal="center" vertical="center" wrapText="1"/>
      <protection hidden="1"/>
    </xf>
    <xf numFmtId="0" fontId="43" fillId="14" borderId="37" xfId="0" applyFont="1" applyFill="1" applyBorder="1" applyAlignment="1">
      <alignment horizontal="center" wrapText="1"/>
    </xf>
    <xf numFmtId="1" fontId="23" fillId="8" borderId="2" xfId="0" applyNumberFormat="1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</xf>
    <xf numFmtId="2" fontId="23" fillId="6" borderId="2" xfId="0" applyNumberFormat="1" applyFont="1" applyFill="1" applyBorder="1" applyAlignment="1" applyProtection="1">
      <alignment horizontal="center" vertical="center"/>
    </xf>
    <xf numFmtId="1" fontId="3" fillId="7" borderId="2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1" fontId="41" fillId="8" borderId="1" xfId="0" applyNumberFormat="1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 wrapText="1"/>
    </xf>
    <xf numFmtId="0" fontId="23" fillId="6" borderId="8" xfId="0" applyFont="1" applyFill="1" applyBorder="1" applyAlignment="1" applyProtection="1">
      <alignment vertical="top" wrapText="1"/>
    </xf>
    <xf numFmtId="165" fontId="23" fillId="6" borderId="8" xfId="0" applyNumberFormat="1" applyFont="1" applyFill="1" applyBorder="1" applyAlignment="1" applyProtection="1">
      <alignment horizontal="center" vertical="center"/>
    </xf>
    <xf numFmtId="0" fontId="23" fillId="6" borderId="8" xfId="0" applyFont="1" applyFill="1" applyBorder="1" applyAlignment="1" applyProtection="1">
      <alignment horizontal="center" vertical="center"/>
    </xf>
    <xf numFmtId="1" fontId="41" fillId="8" borderId="8" xfId="0" applyNumberFormat="1" applyFont="1" applyFill="1" applyBorder="1" applyAlignment="1" applyProtection="1">
      <alignment horizontal="center" vertical="center"/>
      <protection hidden="1"/>
    </xf>
    <xf numFmtId="1" fontId="23" fillId="8" borderId="8" xfId="0" applyNumberFormat="1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Protection="1"/>
    <xf numFmtId="2" fontId="3" fillId="7" borderId="19" xfId="0" applyNumberFormat="1" applyFont="1" applyFill="1" applyBorder="1" applyAlignment="1" applyProtection="1">
      <alignment horizontal="center" vertical="center"/>
    </xf>
    <xf numFmtId="0" fontId="3" fillId="7" borderId="19" xfId="0" applyFont="1" applyFill="1" applyBorder="1" applyAlignment="1" applyProtection="1">
      <alignment horizontal="center" vertical="center"/>
    </xf>
    <xf numFmtId="1" fontId="41" fillId="8" borderId="19" xfId="0" applyNumberFormat="1" applyFont="1" applyFill="1" applyBorder="1" applyAlignment="1" applyProtection="1">
      <alignment horizontal="center" vertical="center"/>
      <protection hidden="1"/>
    </xf>
    <xf numFmtId="2" fontId="3" fillId="9" borderId="1" xfId="0" applyNumberFormat="1" applyFont="1" applyFill="1" applyBorder="1" applyAlignment="1" applyProtection="1">
      <alignment horizontal="center" vertical="center"/>
    </xf>
    <xf numFmtId="1" fontId="23" fillId="8" borderId="1" xfId="0" applyNumberFormat="1" applyFont="1" applyFill="1" applyBorder="1" applyAlignment="1" applyProtection="1">
      <alignment horizontal="center" vertical="center"/>
      <protection hidden="1"/>
    </xf>
    <xf numFmtId="0" fontId="23" fillId="6" borderId="8" xfId="0" applyFont="1" applyFill="1" applyBorder="1" applyProtection="1"/>
    <xf numFmtId="2" fontId="23" fillId="6" borderId="8" xfId="0" applyNumberFormat="1" applyFont="1" applyFill="1" applyBorder="1" applyAlignment="1" applyProtection="1">
      <alignment horizontal="center" vertical="center"/>
    </xf>
    <xf numFmtId="1" fontId="41" fillId="8" borderId="8" xfId="0" applyNumberFormat="1" applyFont="1" applyFill="1" applyBorder="1" applyAlignment="1" applyProtection="1">
      <alignment horizontal="center" vertical="center"/>
    </xf>
    <xf numFmtId="9" fontId="23" fillId="8" borderId="54" xfId="7" applyFont="1" applyFill="1" applyBorder="1" applyAlignment="1" applyProtection="1">
      <alignment horizontal="center" vertical="center"/>
    </xf>
    <xf numFmtId="9" fontId="23" fillId="8" borderId="74" xfId="7" applyFont="1" applyFill="1" applyBorder="1" applyAlignment="1" applyProtection="1">
      <alignment horizontal="center" vertical="center"/>
    </xf>
    <xf numFmtId="9" fontId="23" fillId="8" borderId="73" xfId="7" applyFont="1" applyFill="1" applyBorder="1" applyAlignment="1" applyProtection="1">
      <alignment horizontal="center" vertical="center"/>
    </xf>
    <xf numFmtId="1" fontId="3" fillId="7" borderId="19" xfId="0" applyNumberFormat="1" applyFont="1" applyFill="1" applyBorder="1" applyAlignment="1" applyProtection="1">
      <alignment horizontal="center" vertical="center"/>
    </xf>
    <xf numFmtId="1" fontId="23" fillId="8" borderId="19" xfId="0" applyNumberFormat="1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</xf>
    <xf numFmtId="167" fontId="23" fillId="6" borderId="8" xfId="0" applyNumberFormat="1" applyFont="1" applyFill="1" applyBorder="1" applyAlignment="1" applyProtection="1">
      <alignment horizontal="center" vertical="center"/>
    </xf>
    <xf numFmtId="1" fontId="41" fillId="8" borderId="9" xfId="0" applyNumberFormat="1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Protection="1"/>
    <xf numFmtId="0" fontId="7" fillId="8" borderId="7" xfId="0" applyFont="1" applyFill="1" applyBorder="1" applyAlignment="1" applyProtection="1">
      <alignment horizontal="center" vertical="center" wrapText="1"/>
    </xf>
    <xf numFmtId="0" fontId="9" fillId="8" borderId="44" xfId="0" applyFont="1" applyFill="1" applyBorder="1" applyAlignment="1" applyProtection="1">
      <alignment horizontal="center" vertical="center" wrapText="1"/>
    </xf>
    <xf numFmtId="0" fontId="9" fillId="8" borderId="56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7" xfId="0" applyFont="1" applyFill="1" applyBorder="1" applyAlignment="1" applyProtection="1">
      <alignment horizontal="center" vertical="center" wrapText="1"/>
    </xf>
    <xf numFmtId="168" fontId="23" fillId="8" borderId="4" xfId="0" applyNumberFormat="1" applyFont="1" applyFill="1" applyBorder="1" applyAlignment="1" applyProtection="1">
      <alignment horizontal="center" vertical="center"/>
    </xf>
    <xf numFmtId="2" fontId="39" fillId="8" borderId="2" xfId="0" applyNumberFormat="1" applyFont="1" applyFill="1" applyBorder="1" applyAlignment="1" applyProtection="1">
      <alignment horizontal="center" vertical="center"/>
    </xf>
    <xf numFmtId="0" fontId="37" fillId="9" borderId="11" xfId="0" applyFont="1" applyFill="1" applyBorder="1" applyAlignment="1">
      <alignment horizontal="center" vertical="center" wrapText="1"/>
    </xf>
    <xf numFmtId="185" fontId="37" fillId="9" borderId="19" xfId="0" applyNumberFormat="1" applyFont="1" applyFill="1" applyBorder="1" applyAlignment="1">
      <alignment horizontal="center" vertical="center"/>
    </xf>
    <xf numFmtId="0" fontId="37" fillId="9" borderId="12" xfId="0" applyFont="1" applyFill="1" applyBorder="1" applyAlignment="1">
      <alignment horizontal="center" vertical="center" wrapText="1"/>
    </xf>
    <xf numFmtId="0" fontId="37" fillId="9" borderId="5" xfId="0" applyFont="1" applyFill="1" applyBorder="1" applyAlignment="1">
      <alignment horizontal="center" vertical="center"/>
    </xf>
    <xf numFmtId="164" fontId="37" fillId="9" borderId="5" xfId="0" applyNumberFormat="1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 vertical="center"/>
    </xf>
    <xf numFmtId="0" fontId="37" fillId="25" borderId="1" xfId="0" applyFont="1" applyFill="1" applyBorder="1" applyAlignment="1">
      <alignment horizontal="center" vertical="center"/>
    </xf>
    <xf numFmtId="0" fontId="37" fillId="25" borderId="2" xfId="0" applyFont="1" applyFill="1" applyBorder="1" applyAlignment="1">
      <alignment horizontal="center" vertical="center"/>
    </xf>
    <xf numFmtId="164" fontId="37" fillId="25" borderId="2" xfId="0" applyNumberFormat="1" applyFont="1" applyFill="1" applyBorder="1" applyAlignment="1">
      <alignment horizontal="center" vertical="center"/>
    </xf>
    <xf numFmtId="185" fontId="37" fillId="25" borderId="2" xfId="0" applyNumberFormat="1" applyFont="1" applyFill="1" applyBorder="1" applyAlignment="1">
      <alignment horizontal="center" vertical="center"/>
    </xf>
    <xf numFmtId="168" fontId="37" fillId="25" borderId="2" xfId="0" applyNumberFormat="1" applyFont="1" applyFill="1" applyBorder="1" applyAlignment="1">
      <alignment horizontal="center" vertical="center"/>
    </xf>
    <xf numFmtId="2" fontId="37" fillId="25" borderId="2" xfId="0" applyNumberFormat="1" applyFont="1" applyFill="1" applyBorder="1" applyAlignment="1">
      <alignment horizontal="center" vertical="center"/>
    </xf>
    <xf numFmtId="0" fontId="37" fillId="25" borderId="2" xfId="0" applyFont="1" applyFill="1" applyBorder="1" applyAlignment="1">
      <alignment horizontal="center" vertical="center" wrapText="1"/>
    </xf>
    <xf numFmtId="166" fontId="37" fillId="25" borderId="2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center" vertical="center" wrapText="1"/>
    </xf>
    <xf numFmtId="0" fontId="37" fillId="26" borderId="31" xfId="0" applyFont="1" applyFill="1" applyBorder="1" applyAlignment="1">
      <alignment horizontal="center" vertical="center" wrapText="1"/>
    </xf>
    <xf numFmtId="164" fontId="37" fillId="26" borderId="31" xfId="0" applyNumberFormat="1" applyFont="1" applyFill="1" applyBorder="1" applyAlignment="1">
      <alignment horizontal="center" vertical="center" wrapText="1"/>
    </xf>
    <xf numFmtId="165" fontId="37" fillId="26" borderId="31" xfId="0" applyNumberFormat="1" applyFont="1" applyFill="1" applyBorder="1" applyAlignment="1">
      <alignment horizontal="center" vertical="center" wrapText="1"/>
    </xf>
    <xf numFmtId="1" fontId="37" fillId="26" borderId="31" xfId="0" applyNumberFormat="1" applyFont="1" applyFill="1" applyBorder="1" applyAlignment="1">
      <alignment horizontal="center" vertical="center" wrapText="1"/>
    </xf>
    <xf numFmtId="168" fontId="37" fillId="26" borderId="31" xfId="0" applyNumberFormat="1" applyFont="1" applyFill="1" applyBorder="1" applyAlignment="1">
      <alignment horizontal="center" vertical="center" wrapText="1"/>
    </xf>
    <xf numFmtId="0" fontId="37" fillId="26" borderId="32" xfId="0" applyFont="1" applyFill="1" applyBorder="1" applyAlignment="1">
      <alignment horizontal="center" vertical="center" wrapText="1"/>
    </xf>
    <xf numFmtId="0" fontId="37" fillId="26" borderId="3" xfId="0" applyFont="1" applyFill="1" applyBorder="1" applyAlignment="1">
      <alignment horizontal="center" vertical="center" wrapText="1"/>
    </xf>
    <xf numFmtId="0" fontId="37" fillId="26" borderId="2" xfId="0" applyFont="1" applyFill="1" applyBorder="1" applyAlignment="1">
      <alignment horizontal="center" vertical="center" wrapText="1"/>
    </xf>
    <xf numFmtId="164" fontId="37" fillId="26" borderId="2" xfId="0" applyNumberFormat="1" applyFont="1" applyFill="1" applyBorder="1" applyAlignment="1">
      <alignment horizontal="center" vertical="center" wrapText="1"/>
    </xf>
    <xf numFmtId="165" fontId="37" fillId="26" borderId="2" xfId="0" applyNumberFormat="1" applyFont="1" applyFill="1" applyBorder="1" applyAlignment="1">
      <alignment horizontal="center" vertical="center" wrapText="1"/>
    </xf>
    <xf numFmtId="1" fontId="37" fillId="26" borderId="2" xfId="0" applyNumberFormat="1" applyFont="1" applyFill="1" applyBorder="1" applyAlignment="1">
      <alignment horizontal="center" vertical="center" wrapText="1"/>
    </xf>
    <xf numFmtId="168" fontId="37" fillId="26" borderId="2" xfId="0" applyNumberFormat="1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 wrapText="1"/>
    </xf>
    <xf numFmtId="2" fontId="37" fillId="26" borderId="2" xfId="0" applyNumberFormat="1" applyFont="1" applyFill="1" applyBorder="1" applyAlignment="1">
      <alignment horizontal="center" vertical="center" wrapText="1"/>
    </xf>
    <xf numFmtId="166" fontId="37" fillId="26" borderId="2" xfId="0" applyNumberFormat="1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5" xfId="0" applyFont="1" applyFill="1" applyBorder="1" applyAlignment="1">
      <alignment horizontal="center" vertical="center" wrapText="1"/>
    </xf>
    <xf numFmtId="164" fontId="37" fillId="26" borderId="5" xfId="0" applyNumberFormat="1" applyFont="1" applyFill="1" applyBorder="1" applyAlignment="1">
      <alignment horizontal="center" vertical="center" wrapText="1"/>
    </xf>
    <xf numFmtId="166" fontId="37" fillId="26" borderId="5" xfId="0" applyNumberFormat="1" applyFont="1" applyFill="1" applyBorder="1" applyAlignment="1">
      <alignment horizontal="center" vertical="center" wrapText="1"/>
    </xf>
    <xf numFmtId="1" fontId="37" fillId="26" borderId="5" xfId="0" applyNumberFormat="1" applyFont="1" applyFill="1" applyBorder="1" applyAlignment="1">
      <alignment horizontal="center" vertical="center" wrapText="1"/>
    </xf>
    <xf numFmtId="168" fontId="37" fillId="26" borderId="5" xfId="0" applyNumberFormat="1" applyFont="1" applyFill="1" applyBorder="1" applyAlignment="1">
      <alignment horizontal="center" vertical="center" wrapText="1"/>
    </xf>
    <xf numFmtId="0" fontId="37" fillId="26" borderId="6" xfId="0" applyFont="1" applyFill="1" applyBorder="1" applyAlignment="1">
      <alignment horizontal="center" vertical="center" wrapText="1"/>
    </xf>
    <xf numFmtId="0" fontId="37" fillId="26" borderId="31" xfId="0" applyFont="1" applyFill="1" applyBorder="1" applyAlignment="1">
      <alignment horizontal="center" vertical="center"/>
    </xf>
    <xf numFmtId="0" fontId="37" fillId="26" borderId="2" xfId="0" applyFont="1" applyFill="1" applyBorder="1" applyAlignment="1">
      <alignment horizontal="center" vertical="center"/>
    </xf>
    <xf numFmtId="164" fontId="37" fillId="26" borderId="47" xfId="0" applyNumberFormat="1" applyFont="1" applyFill="1" applyBorder="1" applyAlignment="1">
      <alignment horizontal="center" vertical="center"/>
    </xf>
    <xf numFmtId="1" fontId="37" fillId="26" borderId="31" xfId="0" applyNumberFormat="1" applyFont="1" applyFill="1" applyBorder="1" applyAlignment="1">
      <alignment horizontal="center" vertical="center"/>
    </xf>
    <xf numFmtId="168" fontId="37" fillId="26" borderId="31" xfId="0" applyNumberFormat="1" applyFont="1" applyFill="1" applyBorder="1" applyAlignment="1">
      <alignment horizontal="center" vertical="center"/>
    </xf>
    <xf numFmtId="0" fontId="37" fillId="26" borderId="32" xfId="0" applyFont="1" applyFill="1" applyBorder="1" applyAlignment="1">
      <alignment horizontal="center" vertical="center"/>
    </xf>
    <xf numFmtId="164" fontId="37" fillId="26" borderId="2" xfId="0" applyNumberFormat="1" applyFont="1" applyFill="1" applyBorder="1" applyAlignment="1">
      <alignment horizontal="center" vertical="center"/>
    </xf>
    <xf numFmtId="1" fontId="37" fillId="26" borderId="2" xfId="0" applyNumberFormat="1" applyFont="1" applyFill="1" applyBorder="1" applyAlignment="1">
      <alignment horizontal="center" vertical="center"/>
    </xf>
    <xf numFmtId="168" fontId="37" fillId="26" borderId="2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2" fontId="37" fillId="26" borderId="2" xfId="0" applyNumberFormat="1" applyFont="1" applyFill="1" applyBorder="1" applyAlignment="1">
      <alignment horizontal="center" vertical="center"/>
    </xf>
    <xf numFmtId="185" fontId="37" fillId="26" borderId="2" xfId="0" applyNumberFormat="1" applyFont="1" applyFill="1" applyBorder="1" applyAlignment="1">
      <alignment horizontal="center" vertical="center"/>
    </xf>
    <xf numFmtId="166" fontId="37" fillId="26" borderId="2" xfId="0" applyNumberFormat="1" applyFont="1" applyFill="1" applyBorder="1" applyAlignment="1">
      <alignment horizontal="center" vertical="center"/>
    </xf>
    <xf numFmtId="0" fontId="37" fillId="26" borderId="5" xfId="0" applyFont="1" applyFill="1" applyBorder="1" applyAlignment="1">
      <alignment horizontal="center" vertical="center"/>
    </xf>
    <xf numFmtId="164" fontId="37" fillId="26" borderId="46" xfId="0" applyNumberFormat="1" applyFont="1" applyFill="1" applyBorder="1" applyAlignment="1">
      <alignment horizontal="center" vertical="center"/>
    </xf>
    <xf numFmtId="185" fontId="37" fillId="26" borderId="5" xfId="0" applyNumberFormat="1" applyFont="1" applyFill="1" applyBorder="1" applyAlignment="1">
      <alignment horizontal="center" vertical="center"/>
    </xf>
    <xf numFmtId="166" fontId="37" fillId="26" borderId="5" xfId="0" applyNumberFormat="1" applyFont="1" applyFill="1" applyBorder="1" applyAlignment="1">
      <alignment horizontal="center" vertical="center"/>
    </xf>
    <xf numFmtId="1" fontId="37" fillId="26" borderId="5" xfId="0" applyNumberFormat="1" applyFont="1" applyFill="1" applyBorder="1" applyAlignment="1">
      <alignment horizontal="center" vertical="center"/>
    </xf>
    <xf numFmtId="168" fontId="37" fillId="26" borderId="19" xfId="0" applyNumberFormat="1" applyFont="1" applyFill="1" applyBorder="1" applyAlignment="1">
      <alignment horizontal="center" vertical="center"/>
    </xf>
    <xf numFmtId="0" fontId="37" fillId="26" borderId="6" xfId="0" applyFont="1" applyFill="1" applyBorder="1" applyAlignment="1">
      <alignment horizontal="center" vertical="center"/>
    </xf>
    <xf numFmtId="164" fontId="37" fillId="26" borderId="31" xfId="0" applyNumberFormat="1" applyFont="1" applyFill="1" applyBorder="1" applyAlignment="1">
      <alignment horizontal="center" vertical="center"/>
    </xf>
    <xf numFmtId="2" fontId="37" fillId="26" borderId="31" xfId="0" applyNumberFormat="1" applyFont="1" applyFill="1" applyBorder="1" applyAlignment="1">
      <alignment horizontal="center" vertical="center"/>
    </xf>
    <xf numFmtId="164" fontId="37" fillId="26" borderId="1" xfId="0" applyNumberFormat="1" applyFont="1" applyFill="1" applyBorder="1" applyAlignment="1">
      <alignment horizontal="center" vertical="center"/>
    </xf>
    <xf numFmtId="0" fontId="37" fillId="26" borderId="48" xfId="0" applyFont="1" applyFill="1" applyBorder="1" applyAlignment="1">
      <alignment horizontal="center" vertical="center"/>
    </xf>
    <xf numFmtId="164" fontId="37" fillId="26" borderId="26" xfId="0" applyNumberFormat="1" applyFont="1" applyFill="1" applyBorder="1" applyAlignment="1">
      <alignment horizontal="center" vertical="center"/>
    </xf>
    <xf numFmtId="0" fontId="37" fillId="26" borderId="57" xfId="0" applyFont="1" applyFill="1" applyBorder="1" applyAlignment="1">
      <alignment horizontal="center" vertical="center"/>
    </xf>
    <xf numFmtId="164" fontId="37" fillId="26" borderId="5" xfId="0" applyNumberFormat="1" applyFont="1" applyFill="1" applyBorder="1" applyAlignment="1">
      <alignment horizontal="center" vertical="center"/>
    </xf>
    <xf numFmtId="168" fontId="37" fillId="26" borderId="5" xfId="0" applyNumberFormat="1" applyFont="1" applyFill="1" applyBorder="1" applyAlignment="1">
      <alignment horizontal="center" vertical="center"/>
    </xf>
    <xf numFmtId="166" fontId="37" fillId="26" borderId="31" xfId="0" applyNumberFormat="1" applyFont="1" applyFill="1" applyBorder="1" applyAlignment="1">
      <alignment horizontal="center" vertical="center"/>
    </xf>
    <xf numFmtId="185" fontId="37" fillId="26" borderId="31" xfId="0" applyNumberFormat="1" applyFont="1" applyFill="1" applyBorder="1" applyAlignment="1">
      <alignment horizontal="center" vertical="center"/>
    </xf>
    <xf numFmtId="0" fontId="37" fillId="26" borderId="1" xfId="0" applyFont="1" applyFill="1" applyBorder="1" applyAlignment="1">
      <alignment horizontal="center" vertical="center"/>
    </xf>
    <xf numFmtId="2" fontId="37" fillId="26" borderId="1" xfId="0" applyNumberFormat="1" applyFont="1" applyFill="1" applyBorder="1" applyAlignment="1">
      <alignment horizontal="center" vertical="center"/>
    </xf>
    <xf numFmtId="0" fontId="37" fillId="26" borderId="56" xfId="0" applyFont="1" applyFill="1" applyBorder="1" applyAlignment="1">
      <alignment horizontal="center" vertical="center" wrapText="1"/>
    </xf>
    <xf numFmtId="0" fontId="37" fillId="26" borderId="19" xfId="0" applyFont="1" applyFill="1" applyBorder="1" applyAlignment="1">
      <alignment horizontal="center" vertical="center"/>
    </xf>
    <xf numFmtId="0" fontId="37" fillId="26" borderId="75" xfId="0" applyFont="1" applyFill="1" applyBorder="1" applyAlignment="1">
      <alignment horizontal="center" vertical="center"/>
    </xf>
    <xf numFmtId="164" fontId="37" fillId="26" borderId="19" xfId="0" applyNumberFormat="1" applyFont="1" applyFill="1" applyBorder="1" applyAlignment="1">
      <alignment horizontal="center" vertical="center"/>
    </xf>
    <xf numFmtId="185" fontId="37" fillId="26" borderId="69" xfId="0" applyNumberFormat="1" applyFont="1" applyFill="1" applyBorder="1" applyAlignment="1">
      <alignment horizontal="center" vertical="center"/>
    </xf>
    <xf numFmtId="166" fontId="37" fillId="26" borderId="19" xfId="0" applyNumberFormat="1" applyFont="1" applyFill="1" applyBorder="1" applyAlignment="1">
      <alignment horizontal="center" vertical="center"/>
    </xf>
    <xf numFmtId="1" fontId="37" fillId="26" borderId="19" xfId="0" applyNumberFormat="1" applyFont="1" applyFill="1" applyBorder="1" applyAlignment="1">
      <alignment horizontal="center" vertical="center"/>
    </xf>
    <xf numFmtId="0" fontId="37" fillId="26" borderId="33" xfId="0" applyFont="1" applyFill="1" applyBorder="1" applyAlignment="1">
      <alignment horizontal="center" vertical="center"/>
    </xf>
    <xf numFmtId="0" fontId="37" fillId="26" borderId="3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/>
    </xf>
    <xf numFmtId="2" fontId="37" fillId="26" borderId="5" xfId="0" applyNumberFormat="1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164" fontId="37" fillId="25" borderId="31" xfId="0" applyNumberFormat="1" applyFont="1" applyFill="1" applyBorder="1" applyAlignment="1">
      <alignment horizontal="center" vertical="center"/>
    </xf>
    <xf numFmtId="185" fontId="37" fillId="25" borderId="31" xfId="0" applyNumberFormat="1" applyFont="1" applyFill="1" applyBorder="1" applyAlignment="1">
      <alignment horizontal="center" vertical="center"/>
    </xf>
    <xf numFmtId="168" fontId="37" fillId="25" borderId="31" xfId="0" applyNumberFormat="1" applyFont="1" applyFill="1" applyBorder="1" applyAlignment="1">
      <alignment horizontal="center" vertical="center"/>
    </xf>
    <xf numFmtId="0" fontId="37" fillId="25" borderId="32" xfId="0" applyFont="1" applyFill="1" applyBorder="1" applyAlignment="1">
      <alignment horizontal="center" vertical="center"/>
    </xf>
    <xf numFmtId="0" fontId="37" fillId="25" borderId="3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3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/>
    </xf>
    <xf numFmtId="0" fontId="37" fillId="25" borderId="5" xfId="0" applyFont="1" applyFill="1" applyBorder="1" applyAlignment="1">
      <alignment horizontal="center" vertical="center"/>
    </xf>
    <xf numFmtId="164" fontId="37" fillId="25" borderId="5" xfId="0" applyNumberFormat="1" applyFont="1" applyFill="1" applyBorder="1" applyAlignment="1">
      <alignment horizontal="center" vertical="center"/>
    </xf>
    <xf numFmtId="166" fontId="37" fillId="25" borderId="5" xfId="0" applyNumberFormat="1" applyFont="1" applyFill="1" applyBorder="1" applyAlignment="1">
      <alignment horizontal="center" vertical="center"/>
    </xf>
    <xf numFmtId="168" fontId="37" fillId="25" borderId="5" xfId="0" applyNumberFormat="1" applyFont="1" applyFill="1" applyBorder="1" applyAlignment="1">
      <alignment horizontal="center" vertical="center"/>
    </xf>
    <xf numFmtId="0" fontId="37" fillId="25" borderId="6" xfId="0" applyFont="1" applyFill="1" applyBorder="1" applyAlignment="1">
      <alignment horizontal="center" vertical="center"/>
    </xf>
    <xf numFmtId="0" fontId="37" fillId="9" borderId="44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center" vertical="center"/>
    </xf>
    <xf numFmtId="164" fontId="37" fillId="9" borderId="1" xfId="0" applyNumberFormat="1" applyFont="1" applyFill="1" applyBorder="1" applyAlignment="1">
      <alignment horizontal="center" vertical="center"/>
    </xf>
    <xf numFmtId="2" fontId="37" fillId="9" borderId="1" xfId="0" applyNumberFormat="1" applyFont="1" applyFill="1" applyBorder="1" applyAlignment="1">
      <alignment horizontal="center" vertical="center"/>
    </xf>
    <xf numFmtId="185" fontId="37" fillId="9" borderId="1" xfId="0" applyNumberFormat="1" applyFont="1" applyFill="1" applyBorder="1" applyAlignment="1">
      <alignment horizontal="center" vertical="center"/>
    </xf>
    <xf numFmtId="168" fontId="37" fillId="9" borderId="1" xfId="0" applyNumberFormat="1" applyFont="1" applyFill="1" applyBorder="1" applyAlignment="1">
      <alignment horizontal="center" vertical="center"/>
    </xf>
    <xf numFmtId="0" fontId="37" fillId="9" borderId="48" xfId="0" applyFont="1" applyFill="1" applyBorder="1" applyAlignment="1">
      <alignment horizontal="center" vertical="center"/>
    </xf>
    <xf numFmtId="0" fontId="37" fillId="9" borderId="56" xfId="0" applyFont="1" applyFill="1" applyBorder="1" applyAlignment="1">
      <alignment horizontal="center" vertical="center"/>
    </xf>
    <xf numFmtId="0" fontId="37" fillId="9" borderId="19" xfId="0" applyFont="1" applyFill="1" applyBorder="1" applyAlignment="1">
      <alignment horizontal="center" vertical="center"/>
    </xf>
    <xf numFmtId="164" fontId="37" fillId="9" borderId="19" xfId="0" applyNumberFormat="1" applyFont="1" applyFill="1" applyBorder="1" applyAlignment="1">
      <alignment horizontal="center" vertical="center"/>
    </xf>
    <xf numFmtId="168" fontId="37" fillId="9" borderId="19" xfId="0" applyNumberFormat="1" applyFont="1" applyFill="1" applyBorder="1" applyAlignment="1">
      <alignment horizontal="center" vertical="center"/>
    </xf>
    <xf numFmtId="0" fontId="37" fillId="9" borderId="33" xfId="0" applyFont="1" applyFill="1" applyBorder="1" applyAlignment="1">
      <alignment horizontal="center" vertical="center"/>
    </xf>
    <xf numFmtId="0" fontId="37" fillId="9" borderId="31" xfId="0" applyFont="1" applyFill="1" applyBorder="1" applyAlignment="1">
      <alignment horizontal="center" vertical="center" wrapText="1"/>
    </xf>
    <xf numFmtId="164" fontId="37" fillId="9" borderId="31" xfId="0" applyNumberFormat="1" applyFont="1" applyFill="1" applyBorder="1" applyAlignment="1">
      <alignment horizontal="center" vertical="center" wrapText="1"/>
    </xf>
    <xf numFmtId="1" fontId="37" fillId="9" borderId="31" xfId="0" applyNumberFormat="1" applyFont="1" applyFill="1" applyBorder="1" applyAlignment="1">
      <alignment horizontal="center" vertical="center" wrapText="1"/>
    </xf>
    <xf numFmtId="168" fontId="37" fillId="9" borderId="31" xfId="0" applyNumberFormat="1" applyFont="1" applyFill="1" applyBorder="1" applyAlignment="1">
      <alignment horizontal="center" vertical="center" wrapText="1"/>
    </xf>
    <xf numFmtId="0" fontId="37" fillId="9" borderId="32" xfId="0" applyFont="1" applyFill="1" applyBorder="1" applyAlignment="1">
      <alignment horizontal="center" vertical="center" wrapText="1"/>
    </xf>
    <xf numFmtId="1" fontId="37" fillId="9" borderId="5" xfId="0" applyNumberFormat="1" applyFont="1" applyFill="1" applyBorder="1" applyAlignment="1">
      <alignment horizontal="center" vertical="center"/>
    </xf>
    <xf numFmtId="168" fontId="37" fillId="9" borderId="46" xfId="0" applyNumberFormat="1" applyFont="1" applyFill="1" applyBorder="1" applyAlignment="1">
      <alignment horizontal="center" vertical="center"/>
    </xf>
    <xf numFmtId="0" fontId="52" fillId="25" borderId="11" xfId="0" applyFont="1" applyFill="1" applyBorder="1" applyAlignment="1" applyProtection="1">
      <alignment horizontal="center" vertical="center"/>
    </xf>
    <xf numFmtId="0" fontId="52" fillId="25" borderId="31" xfId="0" applyFont="1" applyFill="1" applyBorder="1" applyAlignment="1" applyProtection="1">
      <alignment horizontal="center" vertical="center"/>
    </xf>
    <xf numFmtId="166" fontId="52" fillId="25" borderId="31" xfId="0" applyNumberFormat="1" applyFont="1" applyFill="1" applyBorder="1" applyAlignment="1" applyProtection="1">
      <alignment horizontal="center" vertical="center"/>
    </xf>
    <xf numFmtId="0" fontId="52" fillId="25" borderId="3" xfId="0" applyFont="1" applyFill="1" applyBorder="1" applyAlignment="1" applyProtection="1">
      <alignment horizontal="center" vertical="center"/>
    </xf>
    <xf numFmtId="0" fontId="52" fillId="25" borderId="2" xfId="0" applyFont="1" applyFill="1" applyBorder="1" applyAlignment="1" applyProtection="1">
      <alignment horizontal="center" vertical="center"/>
    </xf>
    <xf numFmtId="166" fontId="52" fillId="25" borderId="2" xfId="0" applyNumberFormat="1" applyFont="1" applyFill="1" applyBorder="1" applyAlignment="1" applyProtection="1">
      <alignment horizontal="center" vertical="center"/>
    </xf>
    <xf numFmtId="166" fontId="52" fillId="25" borderId="3" xfId="0" applyNumberFormat="1" applyFont="1" applyFill="1" applyBorder="1" applyAlignment="1" applyProtection="1">
      <alignment horizontal="center" vertical="center"/>
    </xf>
    <xf numFmtId="2" fontId="52" fillId="25" borderId="2" xfId="0" applyNumberFormat="1" applyFont="1" applyFill="1" applyBorder="1" applyAlignment="1" applyProtection="1">
      <alignment horizontal="center" vertical="center"/>
    </xf>
    <xf numFmtId="166" fontId="52" fillId="25" borderId="12" xfId="0" applyNumberFormat="1" applyFont="1" applyFill="1" applyBorder="1" applyAlignment="1" applyProtection="1">
      <alignment horizontal="center" vertical="center"/>
    </xf>
    <xf numFmtId="0" fontId="52" fillId="25" borderId="5" xfId="0" applyFont="1" applyFill="1" applyBorder="1" applyAlignment="1" applyProtection="1">
      <alignment horizontal="center" vertical="center"/>
    </xf>
    <xf numFmtId="2" fontId="52" fillId="25" borderId="5" xfId="0" applyNumberFormat="1" applyFont="1" applyFill="1" applyBorder="1" applyAlignment="1" applyProtection="1">
      <alignment horizontal="center" vertical="center"/>
    </xf>
    <xf numFmtId="0" fontId="38" fillId="25" borderId="51" xfId="0" applyFont="1" applyFill="1" applyBorder="1" applyAlignment="1">
      <alignment horizontal="center" vertical="center" wrapText="1"/>
    </xf>
    <xf numFmtId="0" fontId="59" fillId="25" borderId="1" xfId="0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165" fontId="37" fillId="25" borderId="18" xfId="0" applyNumberFormat="1" applyFont="1" applyFill="1" applyBorder="1" applyAlignment="1">
      <alignment horizontal="center" vertical="center" wrapText="1"/>
    </xf>
    <xf numFmtId="0" fontId="47" fillId="25" borderId="36" xfId="0" applyFont="1" applyFill="1" applyBorder="1" applyAlignment="1">
      <alignment horizontal="center" vertical="center" wrapText="1"/>
    </xf>
    <xf numFmtId="0" fontId="47" fillId="25" borderId="5" xfId="0" applyFont="1" applyFill="1" applyBorder="1" applyAlignment="1">
      <alignment vertical="center" wrapText="1"/>
    </xf>
    <xf numFmtId="3" fontId="52" fillId="27" borderId="37" xfId="0" applyNumberFormat="1" applyFont="1" applyFill="1" applyBorder="1" applyAlignment="1" applyProtection="1">
      <alignment vertical="center" wrapText="1"/>
    </xf>
    <xf numFmtId="3" fontId="52" fillId="27" borderId="59" xfId="0" applyNumberFormat="1" applyFont="1" applyFill="1" applyBorder="1" applyAlignment="1" applyProtection="1">
      <alignment horizontal="center" vertical="center" wrapText="1"/>
    </xf>
    <xf numFmtId="3" fontId="52" fillId="27" borderId="64" xfId="0" applyNumberFormat="1" applyFont="1" applyFill="1" applyBorder="1" applyAlignment="1" applyProtection="1">
      <alignment vertical="center" wrapText="1"/>
    </xf>
    <xf numFmtId="166" fontId="37" fillId="25" borderId="11" xfId="0" applyNumberFormat="1" applyFont="1" applyFill="1" applyBorder="1" applyAlignment="1">
      <alignment horizontal="center" vertical="center"/>
    </xf>
    <xf numFmtId="0" fontId="47" fillId="25" borderId="32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6" xfId="0" applyFont="1" applyFill="1" applyBorder="1" applyAlignment="1">
      <alignment horizontal="center" vertical="center" wrapText="1"/>
    </xf>
    <xf numFmtId="180" fontId="37" fillId="25" borderId="31" xfId="0" applyNumberFormat="1" applyFont="1" applyFill="1" applyBorder="1" applyAlignment="1">
      <alignment horizontal="center" vertical="center" wrapText="1"/>
    </xf>
    <xf numFmtId="180" fontId="37" fillId="25" borderId="32" xfId="0" applyNumberFormat="1" applyFont="1" applyFill="1" applyBorder="1" applyAlignment="1">
      <alignment horizontal="center" vertical="center" wrapText="1"/>
    </xf>
    <xf numFmtId="180" fontId="37" fillId="25" borderId="2" xfId="0" applyNumberFormat="1" applyFont="1" applyFill="1" applyBorder="1" applyAlignment="1">
      <alignment horizontal="center" vertical="center" wrapText="1"/>
    </xf>
    <xf numFmtId="180" fontId="37" fillId="25" borderId="5" xfId="0" applyNumberFormat="1" applyFont="1" applyFill="1" applyBorder="1" applyAlignment="1">
      <alignment horizontal="center" vertical="center" wrapText="1"/>
    </xf>
    <xf numFmtId="0" fontId="37" fillId="25" borderId="44" xfId="0" applyFont="1" applyFill="1" applyBorder="1" applyAlignment="1">
      <alignment horizontal="center" vertical="center"/>
    </xf>
    <xf numFmtId="180" fontId="37" fillId="25" borderId="1" xfId="0" applyNumberFormat="1" applyFont="1" applyFill="1" applyBorder="1" applyAlignment="1">
      <alignment horizontal="center" vertical="center" wrapText="1"/>
    </xf>
    <xf numFmtId="4" fontId="37" fillId="25" borderId="1" xfId="0" applyNumberFormat="1" applyFont="1" applyFill="1" applyBorder="1" applyAlignment="1">
      <alignment horizontal="center" vertical="center" wrapText="1"/>
    </xf>
    <xf numFmtId="184" fontId="37" fillId="25" borderId="48" xfId="0" applyNumberFormat="1" applyFont="1" applyFill="1" applyBorder="1" applyAlignment="1">
      <alignment horizontal="center" vertical="center" wrapText="1"/>
    </xf>
    <xf numFmtId="184" fontId="37" fillId="25" borderId="2" xfId="0" applyNumberFormat="1" applyFont="1" applyFill="1" applyBorder="1" applyAlignment="1">
      <alignment horizontal="center" vertical="center" wrapText="1"/>
    </xf>
    <xf numFmtId="184" fontId="37" fillId="25" borderId="10" xfId="0" applyNumberFormat="1" applyFont="1" applyFill="1" applyBorder="1" applyAlignment="1">
      <alignment horizontal="center" vertical="center" wrapText="1"/>
    </xf>
    <xf numFmtId="165" fontId="37" fillId="25" borderId="12" xfId="0" applyNumberFormat="1" applyFont="1" applyFill="1" applyBorder="1" applyAlignment="1">
      <alignment horizontal="center" vertical="center"/>
    </xf>
    <xf numFmtId="4" fontId="37" fillId="25" borderId="5" xfId="0" applyNumberFormat="1" applyFont="1" applyFill="1" applyBorder="1" applyAlignment="1">
      <alignment horizontal="center" vertical="center" wrapText="1"/>
    </xf>
    <xf numFmtId="4" fontId="37" fillId="25" borderId="6" xfId="0" applyNumberFormat="1" applyFont="1" applyFill="1" applyBorder="1" applyAlignment="1">
      <alignment horizontal="center" vertical="center" wrapText="1"/>
    </xf>
    <xf numFmtId="3" fontId="37" fillId="20" borderId="37" xfId="0" applyNumberFormat="1" applyFont="1" applyFill="1" applyBorder="1" applyAlignment="1">
      <alignment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59" fillId="25" borderId="31" xfId="0" applyFont="1" applyFill="1" applyBorder="1" applyAlignment="1">
      <alignment horizontal="center" vertical="center" wrapText="1"/>
    </xf>
    <xf numFmtId="3" fontId="37" fillId="20" borderId="59" xfId="0" applyNumberFormat="1" applyFont="1" applyFill="1" applyBorder="1" applyAlignment="1">
      <alignment horizontal="center" vertical="center" wrapText="1"/>
    </xf>
    <xf numFmtId="180" fontId="37" fillId="25" borderId="18" xfId="0" applyNumberFormat="1" applyFont="1" applyFill="1" applyBorder="1" applyAlignment="1">
      <alignment horizontal="center" vertical="center" wrapText="1"/>
    </xf>
    <xf numFmtId="4" fontId="37" fillId="25" borderId="18" xfId="0" applyNumberFormat="1" applyFont="1" applyFill="1" applyBorder="1" applyAlignment="1">
      <alignment horizontal="center" vertical="center" wrapText="1"/>
    </xf>
    <xf numFmtId="3" fontId="37" fillId="20" borderId="64" xfId="0" applyNumberFormat="1" applyFont="1" applyFill="1" applyBorder="1" applyAlignment="1">
      <alignment horizontal="center" vertical="center" wrapText="1"/>
    </xf>
    <xf numFmtId="166" fontId="37" fillId="21" borderId="11" xfId="0" applyNumberFormat="1" applyFont="1" applyFill="1" applyBorder="1" applyAlignment="1">
      <alignment horizontal="center" vertical="center"/>
    </xf>
    <xf numFmtId="0" fontId="37" fillId="21" borderId="31" xfId="0" applyFont="1" applyFill="1" applyBorder="1" applyAlignment="1">
      <alignment horizontal="center" vertical="center"/>
    </xf>
    <xf numFmtId="166" fontId="37" fillId="21" borderId="31" xfId="0" applyNumberFormat="1" applyFont="1" applyFill="1" applyBorder="1" applyAlignment="1">
      <alignment horizontal="center" vertical="center"/>
    </xf>
    <xf numFmtId="0" fontId="37" fillId="21" borderId="32" xfId="0" applyFont="1" applyFill="1" applyBorder="1" applyAlignment="1">
      <alignment horizontal="center" vertical="center" wrapText="1"/>
    </xf>
    <xf numFmtId="0" fontId="37" fillId="21" borderId="3" xfId="0" applyFont="1" applyFill="1" applyBorder="1" applyAlignment="1">
      <alignment horizontal="center" vertical="center"/>
    </xf>
    <xf numFmtId="0" fontId="37" fillId="21" borderId="2" xfId="0" applyFont="1" applyFill="1" applyBorder="1" applyAlignment="1">
      <alignment horizontal="center" vertical="center"/>
    </xf>
    <xf numFmtId="166" fontId="37" fillId="21" borderId="2" xfId="0" applyNumberFormat="1" applyFont="1" applyFill="1" applyBorder="1" applyAlignment="1">
      <alignment horizontal="center" vertical="center"/>
    </xf>
    <xf numFmtId="0" fontId="47" fillId="21" borderId="10" xfId="0" applyFont="1" applyFill="1" applyBorder="1" applyAlignment="1">
      <alignment horizontal="center" vertical="center" wrapText="1"/>
    </xf>
    <xf numFmtId="0" fontId="37" fillId="21" borderId="12" xfId="0" applyFont="1" applyFill="1" applyBorder="1" applyAlignment="1">
      <alignment horizontal="center" vertical="center"/>
    </xf>
    <xf numFmtId="0" fontId="37" fillId="21" borderId="46" xfId="0" applyFont="1" applyFill="1" applyBorder="1" applyAlignment="1">
      <alignment horizontal="center" vertical="center"/>
    </xf>
    <xf numFmtId="0" fontId="37" fillId="21" borderId="5" xfId="0" applyFont="1" applyFill="1" applyBorder="1" applyAlignment="1">
      <alignment horizontal="center" vertical="center"/>
    </xf>
    <xf numFmtId="0" fontId="47" fillId="21" borderId="6" xfId="0" applyFont="1" applyFill="1" applyBorder="1" applyAlignment="1">
      <alignment horizontal="center" vertical="center" wrapText="1"/>
    </xf>
    <xf numFmtId="0" fontId="37" fillId="21" borderId="11" xfId="0" applyFont="1" applyFill="1" applyBorder="1" applyAlignment="1">
      <alignment horizontal="center" vertical="center"/>
    </xf>
    <xf numFmtId="166" fontId="37" fillId="26" borderId="44" xfId="0" applyNumberFormat="1" applyFont="1" applyFill="1" applyBorder="1" applyAlignment="1">
      <alignment horizontal="center" vertical="center"/>
    </xf>
    <xf numFmtId="0" fontId="37" fillId="26" borderId="48" xfId="0" applyFont="1" applyFill="1" applyBorder="1" applyAlignment="1">
      <alignment horizontal="center" vertical="center" wrapText="1"/>
    </xf>
    <xf numFmtId="165" fontId="37" fillId="26" borderId="2" xfId="0" applyNumberFormat="1" applyFont="1" applyFill="1" applyBorder="1" applyAlignment="1">
      <alignment horizontal="center" vertical="center"/>
    </xf>
    <xf numFmtId="0" fontId="47" fillId="26" borderId="10" xfId="0" applyFont="1" applyFill="1" applyBorder="1" applyAlignment="1">
      <alignment horizontal="center" vertical="center" wrapText="1"/>
    </xf>
    <xf numFmtId="0" fontId="47" fillId="26" borderId="6" xfId="0" applyFont="1" applyFill="1" applyBorder="1" applyAlignment="1">
      <alignment horizontal="center" vertical="center" wrapText="1"/>
    </xf>
    <xf numFmtId="0" fontId="37" fillId="21" borderId="39" xfId="0" applyFont="1" applyFill="1" applyBorder="1" applyAlignment="1">
      <alignment horizontal="center" vertical="center" wrapText="1"/>
    </xf>
    <xf numFmtId="0" fontId="37" fillId="21" borderId="18" xfId="0" applyFont="1" applyFill="1" applyBorder="1" applyAlignment="1">
      <alignment horizontal="center" vertical="center" wrapText="1"/>
    </xf>
    <xf numFmtId="3" fontId="37" fillId="20" borderId="64" xfId="0" applyNumberFormat="1" applyFont="1" applyFill="1" applyBorder="1" applyAlignment="1">
      <alignment vertical="center" wrapText="1"/>
    </xf>
    <xf numFmtId="166" fontId="37" fillId="25" borderId="31" xfId="0" applyNumberFormat="1" applyFont="1" applyFill="1" applyBorder="1" applyAlignment="1">
      <alignment horizontal="center" vertical="center"/>
    </xf>
    <xf numFmtId="166" fontId="37" fillId="25" borderId="32" xfId="0" applyNumberFormat="1" applyFont="1" applyFill="1" applyBorder="1" applyAlignment="1">
      <alignment horizontal="center" vertical="center" wrapText="1"/>
    </xf>
    <xf numFmtId="166" fontId="47" fillId="25" borderId="10" xfId="0" applyNumberFormat="1" applyFont="1" applyFill="1" applyBorder="1" applyAlignment="1">
      <alignment horizontal="center" vertical="center" wrapText="1"/>
    </xf>
    <xf numFmtId="166" fontId="37" fillId="25" borderId="12" xfId="0" applyNumberFormat="1" applyFont="1" applyFill="1" applyBorder="1" applyAlignment="1">
      <alignment horizontal="center" vertical="center"/>
    </xf>
    <xf numFmtId="166" fontId="47" fillId="25" borderId="6" xfId="0" applyNumberFormat="1" applyFont="1" applyFill="1" applyBorder="1" applyAlignment="1">
      <alignment horizontal="center" vertical="center" wrapText="1"/>
    </xf>
    <xf numFmtId="0" fontId="37" fillId="25" borderId="32" xfId="0" applyFont="1" applyFill="1" applyBorder="1" applyAlignment="1">
      <alignment horizontal="center" vertical="center" wrapText="1"/>
    </xf>
    <xf numFmtId="184" fontId="37" fillId="25" borderId="51" xfId="0" applyNumberFormat="1" applyFont="1" applyFill="1" applyBorder="1" applyAlignment="1">
      <alignment horizontal="center" vertical="center"/>
    </xf>
    <xf numFmtId="184" fontId="37" fillId="25" borderId="18" xfId="0" applyNumberFormat="1" applyFont="1" applyFill="1" applyBorder="1" applyAlignment="1">
      <alignment horizontal="center" vertical="center"/>
    </xf>
    <xf numFmtId="184" fontId="37" fillId="25" borderId="36" xfId="0" applyNumberFormat="1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 wrapText="1"/>
    </xf>
    <xf numFmtId="0" fontId="47" fillId="25" borderId="31" xfId="0" applyFont="1" applyFill="1" applyBorder="1" applyAlignment="1">
      <alignment horizontal="center" vertical="center" wrapText="1"/>
    </xf>
    <xf numFmtId="3" fontId="37" fillId="20" borderId="59" xfId="0" applyNumberFormat="1" applyFont="1" applyFill="1" applyBorder="1" applyAlignment="1">
      <alignment horizontal="center" wrapText="1"/>
    </xf>
    <xf numFmtId="166" fontId="37" fillId="25" borderId="3" xfId="0" applyNumberFormat="1" applyFont="1" applyFill="1" applyBorder="1" applyAlignment="1">
      <alignment horizontal="center" vertical="center" wrapText="1"/>
    </xf>
    <xf numFmtId="0" fontId="47" fillId="25" borderId="2" xfId="0" applyFont="1" applyFill="1" applyBorder="1" applyAlignment="1">
      <alignment horizontal="center" vertical="center" wrapText="1"/>
    </xf>
    <xf numFmtId="3" fontId="37" fillId="20" borderId="64" xfId="0" applyNumberFormat="1" applyFont="1" applyFill="1" applyBorder="1" applyAlignment="1">
      <alignment horizontal="center" wrapText="1"/>
    </xf>
    <xf numFmtId="0" fontId="37" fillId="25" borderId="52" xfId="0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 wrapText="1"/>
    </xf>
    <xf numFmtId="166" fontId="37" fillId="25" borderId="3" xfId="0" applyNumberFormat="1" applyFont="1" applyFill="1" applyBorder="1" applyAlignment="1">
      <alignment horizontal="center" vertical="center"/>
    </xf>
    <xf numFmtId="165" fontId="37" fillId="25" borderId="44" xfId="0" applyNumberFormat="1" applyFont="1" applyFill="1" applyBorder="1" applyAlignment="1">
      <alignment horizontal="center" vertical="center"/>
    </xf>
    <xf numFmtId="165" fontId="37" fillId="25" borderId="48" xfId="0" applyNumberFormat="1" applyFont="1" applyFill="1" applyBorder="1" applyAlignment="1">
      <alignment horizontal="center" vertical="center" wrapText="1"/>
    </xf>
    <xf numFmtId="165" fontId="37" fillId="25" borderId="3" xfId="0" applyNumberFormat="1" applyFont="1" applyFill="1" applyBorder="1" applyAlignment="1">
      <alignment horizontal="center" vertical="center"/>
    </xf>
    <xf numFmtId="165" fontId="37" fillId="25" borderId="2" xfId="0" applyNumberFormat="1" applyFont="1" applyFill="1" applyBorder="1" applyAlignment="1">
      <alignment horizontal="center" vertical="center"/>
    </xf>
    <xf numFmtId="165" fontId="47" fillId="25" borderId="10" xfId="0" applyNumberFormat="1" applyFont="1" applyFill="1" applyBorder="1" applyAlignment="1">
      <alignment horizontal="center" vertical="center" wrapText="1"/>
    </xf>
    <xf numFmtId="165" fontId="47" fillId="25" borderId="6" xfId="0" applyNumberFormat="1" applyFont="1" applyFill="1" applyBorder="1" applyAlignment="1">
      <alignment horizontal="center" vertical="center" wrapText="1"/>
    </xf>
    <xf numFmtId="0" fontId="37" fillId="25" borderId="39" xfId="0" applyFont="1" applyFill="1" applyBorder="1" applyAlignment="1">
      <alignment horizontal="center" vertical="center" wrapText="1"/>
    </xf>
    <xf numFmtId="166" fontId="37" fillId="25" borderId="18" xfId="0" applyNumberFormat="1" applyFont="1" applyFill="1" applyBorder="1" applyAlignment="1">
      <alignment horizontal="center" vertical="center" wrapText="1"/>
    </xf>
    <xf numFmtId="164" fontId="37" fillId="25" borderId="31" xfId="0" applyNumberFormat="1" applyFont="1" applyFill="1" applyBorder="1" applyAlignment="1">
      <alignment horizontal="center" vertical="center" wrapText="1"/>
    </xf>
    <xf numFmtId="0" fontId="37" fillId="25" borderId="31" xfId="0" applyFont="1" applyFill="1" applyBorder="1" applyAlignment="1">
      <alignment horizontal="center" vertical="center" wrapText="1"/>
    </xf>
    <xf numFmtId="165" fontId="37" fillId="25" borderId="31" xfId="0" applyNumberFormat="1" applyFont="1" applyFill="1" applyBorder="1" applyAlignment="1">
      <alignment horizontal="center" vertical="center" wrapText="1"/>
    </xf>
    <xf numFmtId="165" fontId="37" fillId="25" borderId="32" xfId="0" applyNumberFormat="1" applyFont="1" applyFill="1" applyBorder="1" applyAlignment="1">
      <alignment horizontal="center" vertical="center" wrapText="1"/>
    </xf>
    <xf numFmtId="164" fontId="37" fillId="25" borderId="2" xfId="0" applyNumberFormat="1" applyFont="1" applyFill="1" applyBorder="1" applyAlignment="1">
      <alignment horizontal="center" vertical="center" wrapText="1"/>
    </xf>
    <xf numFmtId="165" fontId="37" fillId="25" borderId="2" xfId="0" applyNumberFormat="1" applyFont="1" applyFill="1" applyBorder="1" applyAlignment="1">
      <alignment horizontal="center" vertical="center" wrapText="1"/>
    </xf>
    <xf numFmtId="165" fontId="37" fillId="25" borderId="10" xfId="0" applyNumberFormat="1" applyFont="1" applyFill="1" applyBorder="1" applyAlignment="1">
      <alignment horizontal="center" vertical="center" wrapText="1"/>
    </xf>
    <xf numFmtId="164" fontId="37" fillId="21" borderId="5" xfId="0" applyNumberFormat="1" applyFont="1" applyFill="1" applyBorder="1" applyAlignment="1">
      <alignment horizontal="center" vertical="center" wrapText="1"/>
    </xf>
    <xf numFmtId="166" fontId="37" fillId="21" borderId="5" xfId="0" applyNumberFormat="1" applyFont="1" applyFill="1" applyBorder="1" applyAlignment="1">
      <alignment horizontal="center" vertical="center"/>
    </xf>
    <xf numFmtId="165" fontId="37" fillId="21" borderId="5" xfId="0" applyNumberFormat="1" applyFont="1" applyFill="1" applyBorder="1" applyAlignment="1">
      <alignment horizontal="center" vertical="center" wrapText="1"/>
    </xf>
    <xf numFmtId="165" fontId="37" fillId="21" borderId="5" xfId="0" applyNumberFormat="1" applyFont="1" applyFill="1" applyBorder="1" applyAlignment="1">
      <alignment horizontal="center" vertical="center"/>
    </xf>
    <xf numFmtId="165" fontId="37" fillId="21" borderId="6" xfId="0" applyNumberFormat="1" applyFont="1" applyFill="1" applyBorder="1" applyAlignment="1">
      <alignment horizontal="center" vertical="center"/>
    </xf>
    <xf numFmtId="0" fontId="23" fillId="8" borderId="7" xfId="0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/>
    </xf>
    <xf numFmtId="0" fontId="23" fillId="8" borderId="7" xfId="0" applyFont="1" applyFill="1" applyBorder="1" applyAlignment="1" applyProtection="1">
      <alignment horizontal="center" vertical="center"/>
    </xf>
    <xf numFmtId="0" fontId="23" fillId="8" borderId="9" xfId="0" applyFont="1" applyFill="1" applyBorder="1" applyAlignment="1" applyProtection="1">
      <alignment horizontal="center" vertical="center"/>
    </xf>
    <xf numFmtId="0" fontId="23" fillId="8" borderId="39" xfId="0" applyFont="1" applyFill="1" applyBorder="1" applyAlignment="1" applyProtection="1">
      <alignment horizontal="center" vertical="center"/>
    </xf>
    <xf numFmtId="0" fontId="23" fillId="8" borderId="32" xfId="0" applyFont="1" applyFill="1" applyBorder="1" applyAlignment="1" applyProtection="1">
      <alignment horizontal="center" vertical="center"/>
    </xf>
    <xf numFmtId="183" fontId="37" fillId="24" borderId="10" xfId="0" applyNumberFormat="1" applyFont="1" applyFill="1" applyBorder="1" applyAlignment="1">
      <alignment horizontal="center" vertical="center"/>
    </xf>
    <xf numFmtId="187" fontId="37" fillId="24" borderId="2" xfId="0" applyNumberFormat="1" applyFont="1" applyFill="1" applyBorder="1" applyAlignment="1">
      <alignment horizontal="center" vertical="center"/>
    </xf>
    <xf numFmtId="187" fontId="37" fillId="24" borderId="5" xfId="0" applyNumberFormat="1" applyFont="1" applyFill="1" applyBorder="1" applyAlignment="1">
      <alignment horizontal="center" vertical="center"/>
    </xf>
    <xf numFmtId="2" fontId="3" fillId="13" borderId="15" xfId="2" applyBorder="1" applyAlignment="1">
      <alignment horizontal="center" vertical="center" wrapText="1"/>
      <protection hidden="1"/>
    </xf>
    <xf numFmtId="165" fontId="39" fillId="8" borderId="5" xfId="0" applyNumberFormat="1" applyFont="1" applyFill="1" applyBorder="1" applyAlignment="1" applyProtection="1">
      <alignment horizontal="center" vertical="center"/>
    </xf>
    <xf numFmtId="9" fontId="23" fillId="8" borderId="21" xfId="7" applyFont="1" applyFill="1" applyBorder="1" applyAlignment="1" applyProtection="1">
      <alignment horizontal="center" vertical="center"/>
      <protection hidden="1"/>
    </xf>
    <xf numFmtId="9" fontId="23" fillId="8" borderId="37" xfId="7" applyFont="1" applyFill="1" applyBorder="1" applyAlignment="1" applyProtection="1">
      <alignment horizontal="center" vertical="center"/>
    </xf>
    <xf numFmtId="0" fontId="37" fillId="25" borderId="59" xfId="0" applyFont="1" applyFill="1" applyBorder="1" applyAlignment="1">
      <alignment horizontal="center" vertical="center"/>
    </xf>
    <xf numFmtId="0" fontId="37" fillId="25" borderId="64" xfId="0" applyFont="1" applyFill="1" applyBorder="1" applyAlignment="1">
      <alignment horizontal="center" vertical="center"/>
    </xf>
    <xf numFmtId="0" fontId="37" fillId="9" borderId="21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/>
    </xf>
    <xf numFmtId="0" fontId="37" fillId="9" borderId="38" xfId="0" applyFont="1" applyFill="1" applyBorder="1" applyAlignment="1">
      <alignment horizontal="center" vertical="center"/>
    </xf>
    <xf numFmtId="0" fontId="37" fillId="9" borderId="66" xfId="0" applyFont="1" applyFill="1" applyBorder="1" applyAlignment="1">
      <alignment horizontal="center" vertical="center"/>
    </xf>
    <xf numFmtId="0" fontId="37" fillId="9" borderId="41" xfId="0" applyFont="1" applyFill="1" applyBorder="1" applyAlignment="1">
      <alignment horizontal="center" vertical="center"/>
    </xf>
    <xf numFmtId="2" fontId="35" fillId="21" borderId="11" xfId="0" applyNumberFormat="1" applyFont="1" applyFill="1" applyBorder="1" applyAlignment="1" applyProtection="1">
      <alignment horizontal="center" vertical="center" wrapText="1"/>
      <protection hidden="1"/>
    </xf>
    <xf numFmtId="2" fontId="35" fillId="21" borderId="31" xfId="0" applyNumberFormat="1" applyFont="1" applyFill="1" applyBorder="1" applyAlignment="1" applyProtection="1">
      <alignment horizontal="center" vertical="center"/>
      <protection hidden="1"/>
    </xf>
    <xf numFmtId="0" fontId="35" fillId="21" borderId="31" xfId="0" applyFont="1" applyFill="1" applyBorder="1" applyAlignment="1" applyProtection="1">
      <alignment horizontal="center" vertical="center"/>
    </xf>
    <xf numFmtId="0" fontId="35" fillId="21" borderId="32" xfId="0" applyFont="1" applyFill="1" applyBorder="1" applyAlignment="1" applyProtection="1">
      <alignment horizontal="center" vertical="center"/>
    </xf>
    <xf numFmtId="2" fontId="1" fillId="21" borderId="20" xfId="0" applyNumberFormat="1" applyFont="1" applyFill="1" applyBorder="1" applyProtection="1">
      <protection hidden="1"/>
    </xf>
    <xf numFmtId="2" fontId="1" fillId="21" borderId="0" xfId="0" applyNumberFormat="1" applyFont="1" applyFill="1" applyBorder="1" applyProtection="1">
      <protection hidden="1"/>
    </xf>
    <xf numFmtId="0" fontId="35" fillId="21" borderId="2" xfId="0" applyFont="1" applyFill="1" applyBorder="1" applyAlignment="1" applyProtection="1">
      <alignment horizontal="center" vertical="center"/>
    </xf>
    <xf numFmtId="0" fontId="35" fillId="21" borderId="10" xfId="0" applyFont="1" applyFill="1" applyBorder="1" applyAlignment="1" applyProtection="1">
      <alignment horizontal="center" vertical="center"/>
    </xf>
    <xf numFmtId="2" fontId="35" fillId="21" borderId="3" xfId="0" applyNumberFormat="1" applyFont="1" applyFill="1" applyBorder="1" applyAlignment="1" applyProtection="1">
      <alignment horizontal="center" vertical="center"/>
      <protection hidden="1"/>
    </xf>
    <xf numFmtId="2" fontId="35" fillId="21" borderId="2" xfId="0" applyNumberFormat="1" applyFont="1" applyFill="1" applyBorder="1" applyAlignment="1" applyProtection="1">
      <alignment horizontal="center" vertical="center"/>
      <protection hidden="1"/>
    </xf>
    <xf numFmtId="2" fontId="1" fillId="21" borderId="52" xfId="0" applyNumberFormat="1" applyFont="1" applyFill="1" applyBorder="1" applyProtection="1">
      <protection hidden="1"/>
    </xf>
    <xf numFmtId="2" fontId="1" fillId="21" borderId="27" xfId="0" applyNumberFormat="1" applyFont="1" applyFill="1" applyBorder="1" applyProtection="1">
      <protection hidden="1"/>
    </xf>
    <xf numFmtId="0" fontId="35" fillId="21" borderId="5" xfId="0" applyFont="1" applyFill="1" applyBorder="1" applyAlignment="1" applyProtection="1">
      <alignment horizontal="center" vertical="center"/>
    </xf>
    <xf numFmtId="0" fontId="35" fillId="21" borderId="6" xfId="0" applyFont="1" applyFill="1" applyBorder="1" applyAlignment="1" applyProtection="1">
      <alignment horizontal="center" vertical="center"/>
    </xf>
    <xf numFmtId="2" fontId="1" fillId="21" borderId="0" xfId="0" applyNumberFormat="1" applyFont="1" applyFill="1" applyProtection="1">
      <protection hidden="1"/>
    </xf>
    <xf numFmtId="2" fontId="35" fillId="21" borderId="0" xfId="0" applyNumberFormat="1" applyFont="1" applyFill="1" applyAlignment="1" applyProtection="1">
      <alignment horizontal="center" vertical="center"/>
      <protection hidden="1"/>
    </xf>
    <xf numFmtId="2" fontId="35" fillId="21" borderId="0" xfId="0" applyNumberFormat="1" applyFont="1" applyFill="1" applyBorder="1" applyAlignment="1" applyProtection="1">
      <alignment horizontal="center" vertical="center"/>
      <protection hidden="1"/>
    </xf>
    <xf numFmtId="2" fontId="1" fillId="21" borderId="0" xfId="0" applyNumberFormat="1" applyFont="1" applyFill="1" applyAlignment="1" applyProtection="1">
      <alignment horizontal="center" vertical="center"/>
      <protection hidden="1"/>
    </xf>
    <xf numFmtId="0" fontId="68" fillId="21" borderId="0" xfId="0" applyFont="1" applyFill="1" applyBorder="1" applyProtection="1"/>
    <xf numFmtId="2" fontId="69" fillId="21" borderId="21" xfId="0" applyNumberFormat="1" applyFont="1" applyFill="1" applyBorder="1" applyAlignment="1" applyProtection="1">
      <alignment horizontal="center" vertical="center"/>
      <protection hidden="1"/>
    </xf>
    <xf numFmtId="49" fontId="28" fillId="0" borderId="2" xfId="8" applyNumberFormat="1" applyFont="1" applyFill="1" applyBorder="1" applyProtection="1">
      <alignment horizontal="center" vertical="center"/>
      <protection locked="0" hidden="1"/>
    </xf>
    <xf numFmtId="185" fontId="52" fillId="0" borderId="5" xfId="0" applyNumberFormat="1" applyFont="1" applyFill="1" applyBorder="1" applyAlignment="1" applyProtection="1">
      <alignment horizontal="center" vertical="center" wrapText="1"/>
    </xf>
    <xf numFmtId="185" fontId="28" fillId="0" borderId="5" xfId="2" applyNumberFormat="1" applyFont="1" applyFill="1" applyBorder="1" applyAlignment="1" applyProtection="1">
      <alignment horizontal="center" vertical="center"/>
      <protection locked="0" hidden="1"/>
    </xf>
    <xf numFmtId="2" fontId="3" fillId="0" borderId="37" xfId="2" applyFill="1" applyBorder="1" applyAlignment="1">
      <alignment horizontal="center" vertical="center"/>
      <protection hidden="1"/>
    </xf>
    <xf numFmtId="0" fontId="28" fillId="13" borderId="61" xfId="2" applyNumberFormat="1" applyFont="1" applyBorder="1" applyAlignment="1" applyProtection="1">
      <alignment horizontal="center" vertical="center"/>
      <protection locked="0" hidden="1"/>
    </xf>
    <xf numFmtId="2" fontId="28" fillId="13" borderId="47" xfId="2" applyFont="1" applyBorder="1" applyAlignment="1" applyProtection="1">
      <alignment horizontal="center" vertical="center"/>
      <protection locked="0" hidden="1"/>
    </xf>
    <xf numFmtId="1" fontId="28" fillId="13" borderId="47" xfId="2" applyNumberFormat="1" applyFont="1" applyBorder="1" applyAlignment="1" applyProtection="1">
      <alignment horizontal="center" vertical="center"/>
      <protection locked="0" hidden="1"/>
    </xf>
    <xf numFmtId="49" fontId="28" fillId="23" borderId="47" xfId="8" applyNumberFormat="1" applyFont="1" applyBorder="1" applyProtection="1">
      <alignment horizontal="center" vertical="center"/>
      <protection locked="0" hidden="1"/>
    </xf>
    <xf numFmtId="1" fontId="28" fillId="13" borderId="47" xfId="2" applyNumberFormat="1" applyFont="1" applyBorder="1" applyAlignment="1" applyProtection="1">
      <alignment horizontal="center" vertical="center"/>
      <protection hidden="1"/>
    </xf>
    <xf numFmtId="185" fontId="28" fillId="13" borderId="47" xfId="2" applyNumberFormat="1" applyFont="1" applyBorder="1" applyAlignment="1" applyProtection="1">
      <alignment horizontal="center" vertical="center"/>
      <protection locked="0" hidden="1"/>
    </xf>
    <xf numFmtId="2" fontId="3" fillId="13" borderId="23" xfId="2" applyBorder="1" applyAlignment="1">
      <alignment horizontal="center" vertical="center"/>
      <protection hidden="1"/>
    </xf>
    <xf numFmtId="0" fontId="28" fillId="22" borderId="2" xfId="2" applyNumberFormat="1" applyFont="1" applyFill="1" applyBorder="1" applyAlignment="1" applyProtection="1">
      <alignment horizontal="center" vertical="center"/>
      <protection locked="0" hidden="1"/>
    </xf>
    <xf numFmtId="0" fontId="28" fillId="0" borderId="2" xfId="2" applyNumberFormat="1" applyFont="1" applyFill="1" applyBorder="1" applyAlignment="1" applyProtection="1">
      <alignment horizontal="center" vertical="center"/>
      <protection locked="0" hidden="1"/>
    </xf>
    <xf numFmtId="185" fontId="28" fillId="0" borderId="2" xfId="2" applyNumberFormat="1" applyFont="1" applyFill="1" applyBorder="1" applyAlignment="1" applyProtection="1">
      <alignment horizontal="center" vertical="center"/>
      <protection locked="0" hidden="1"/>
    </xf>
    <xf numFmtId="0" fontId="52" fillId="0" borderId="11" xfId="0" applyNumberFormat="1" applyFont="1" applyFill="1" applyBorder="1" applyAlignment="1">
      <alignment horizontal="center" vertical="center"/>
    </xf>
    <xf numFmtId="0" fontId="28" fillId="22" borderId="31" xfId="2" applyNumberFormat="1" applyFont="1" applyFill="1" applyBorder="1" applyAlignment="1" applyProtection="1">
      <alignment horizontal="center" vertical="center"/>
      <protection locked="0" hidden="1"/>
    </xf>
    <xf numFmtId="0" fontId="52" fillId="0" borderId="31" xfId="0" applyFont="1" applyFill="1" applyBorder="1" applyAlignment="1" applyProtection="1">
      <alignment horizontal="center" vertical="center" wrapText="1"/>
      <protection locked="0"/>
    </xf>
    <xf numFmtId="1" fontId="5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8" fillId="23" borderId="31" xfId="8" applyNumberFormat="1" applyFont="1" applyBorder="1" applyProtection="1">
      <alignment horizontal="center" vertical="center"/>
      <protection locked="0" hidden="1"/>
    </xf>
    <xf numFmtId="1" fontId="52" fillId="0" borderId="31" xfId="0" applyNumberFormat="1" applyFont="1" applyFill="1" applyBorder="1" applyAlignment="1" applyProtection="1">
      <alignment horizontal="center" vertical="center" wrapText="1"/>
    </xf>
    <xf numFmtId="185" fontId="28" fillId="22" borderId="31" xfId="2" applyNumberFormat="1" applyFont="1" applyFill="1" applyBorder="1" applyAlignment="1" applyProtection="1">
      <alignment horizontal="center" vertical="center"/>
      <protection locked="0" hidden="1"/>
    </xf>
    <xf numFmtId="2" fontId="5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" xfId="0" applyNumberFormat="1" applyFont="1" applyFill="1" applyBorder="1" applyAlignment="1">
      <alignment horizontal="center" vertical="center"/>
    </xf>
    <xf numFmtId="171" fontId="52" fillId="0" borderId="3" xfId="0" applyNumberFormat="1" applyFont="1" applyFill="1" applyBorder="1" applyAlignment="1">
      <alignment horizontal="center" vertical="center"/>
    </xf>
    <xf numFmtId="172" fontId="52" fillId="0" borderId="3" xfId="0" applyNumberFormat="1" applyFont="1" applyFill="1" applyBorder="1" applyAlignment="1">
      <alignment horizontal="center" vertical="center"/>
    </xf>
    <xf numFmtId="173" fontId="52" fillId="0" borderId="3" xfId="0" applyNumberFormat="1" applyFont="1" applyFill="1" applyBorder="1" applyAlignment="1">
      <alignment horizontal="center" vertical="center"/>
    </xf>
    <xf numFmtId="174" fontId="52" fillId="0" borderId="3" xfId="0" applyNumberFormat="1" applyFont="1" applyFill="1" applyBorder="1" applyAlignment="1">
      <alignment horizontal="center" vertical="center"/>
    </xf>
    <xf numFmtId="175" fontId="52" fillId="0" borderId="3" xfId="0" applyNumberFormat="1" applyFont="1" applyFill="1" applyBorder="1" applyAlignment="1">
      <alignment horizontal="center" vertical="center"/>
    </xf>
    <xf numFmtId="176" fontId="52" fillId="0" borderId="3" xfId="0" applyNumberFormat="1" applyFont="1" applyFill="1" applyBorder="1" applyAlignment="1">
      <alignment horizontal="center" vertical="center"/>
    </xf>
    <xf numFmtId="177" fontId="52" fillId="0" borderId="3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/>
    </xf>
    <xf numFmtId="0" fontId="28" fillId="0" borderId="5" xfId="2" applyNumberFormat="1" applyFont="1" applyFill="1" applyBorder="1" applyAlignment="1" applyProtection="1">
      <alignment horizontal="center" vertical="center"/>
      <protection locked="0" hidden="1"/>
    </xf>
    <xf numFmtId="49" fontId="28" fillId="0" borderId="5" xfId="8" applyNumberFormat="1" applyFont="1" applyFill="1" applyBorder="1" applyProtection="1">
      <alignment horizontal="center" vertical="center"/>
      <protection locked="0" hidden="1"/>
    </xf>
    <xf numFmtId="178" fontId="52" fillId="0" borderId="3" xfId="0" applyNumberFormat="1" applyFont="1" applyFill="1" applyBorder="1" applyAlignment="1">
      <alignment horizontal="center" vertical="center"/>
    </xf>
    <xf numFmtId="1" fontId="3" fillId="28" borderId="15" xfId="2" applyNumberFormat="1" applyFill="1" applyBorder="1" applyAlignment="1" applyProtection="1">
      <alignment horizontal="center" vertical="center" wrapText="1"/>
      <protection hidden="1"/>
    </xf>
    <xf numFmtId="0" fontId="71" fillId="14" borderId="37" xfId="0" applyFont="1" applyFill="1" applyBorder="1" applyAlignment="1">
      <alignment horizontal="center" wrapText="1"/>
    </xf>
    <xf numFmtId="1" fontId="72" fillId="8" borderId="9" xfId="0" applyNumberFormat="1" applyFont="1" applyFill="1" applyBorder="1" applyAlignment="1" applyProtection="1">
      <alignment horizontal="center" vertical="center"/>
      <protection hidden="1"/>
    </xf>
    <xf numFmtId="1" fontId="73" fillId="8" borderId="48" xfId="0" applyNumberFormat="1" applyFont="1" applyFill="1" applyBorder="1" applyAlignment="1" applyProtection="1">
      <alignment horizontal="center" vertical="center"/>
      <protection hidden="1"/>
    </xf>
    <xf numFmtId="1" fontId="73" fillId="8" borderId="33" xfId="0" applyNumberFormat="1" applyFont="1" applyFill="1" applyBorder="1" applyAlignment="1" applyProtection="1">
      <alignment horizontal="center" vertical="center"/>
      <protection hidden="1"/>
    </xf>
    <xf numFmtId="1" fontId="73" fillId="8" borderId="10" xfId="0" applyNumberFormat="1" applyFont="1" applyFill="1" applyBorder="1" applyAlignment="1" applyProtection="1">
      <alignment horizontal="center" vertical="center"/>
      <protection hidden="1"/>
    </xf>
    <xf numFmtId="0" fontId="72" fillId="9" borderId="14" xfId="0" applyFont="1" applyFill="1" applyBorder="1" applyAlignment="1">
      <alignment horizontal="center" vertical="center" wrapText="1"/>
    </xf>
    <xf numFmtId="2" fontId="72" fillId="9" borderId="21" xfId="0" applyNumberFormat="1" applyFont="1" applyFill="1" applyBorder="1" applyAlignment="1" applyProtection="1">
      <alignment horizontal="center" vertical="center" wrapText="1"/>
      <protection hidden="1"/>
    </xf>
    <xf numFmtId="0" fontId="72" fillId="9" borderId="15" xfId="0" applyFont="1" applyFill="1" applyBorder="1" applyAlignment="1">
      <alignment horizontal="center" vertical="center" wrapText="1"/>
    </xf>
    <xf numFmtId="166" fontId="72" fillId="9" borderId="14" xfId="0" applyNumberFormat="1" applyFont="1" applyFill="1" applyBorder="1" applyAlignment="1" applyProtection="1">
      <alignment horizontal="center" vertical="center"/>
      <protection hidden="1"/>
    </xf>
    <xf numFmtId="2" fontId="72" fillId="9" borderId="21" xfId="0" applyNumberFormat="1" applyFont="1" applyFill="1" applyBorder="1" applyAlignment="1">
      <alignment horizontal="center" vertical="center"/>
    </xf>
    <xf numFmtId="9" fontId="72" fillId="9" borderId="15" xfId="7" applyFont="1" applyFill="1" applyBorder="1" applyAlignment="1" applyProtection="1">
      <alignment horizontal="center" vertical="center"/>
    </xf>
    <xf numFmtId="2" fontId="1" fillId="21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21" borderId="23" xfId="0" applyNumberFormat="1" applyFont="1" applyFill="1" applyBorder="1" applyAlignment="1" applyProtection="1">
      <alignment horizontal="center" vertical="center" wrapText="1"/>
      <protection hidden="1"/>
    </xf>
    <xf numFmtId="2" fontId="1" fillId="21" borderId="52" xfId="0" applyNumberFormat="1" applyFont="1" applyFill="1" applyBorder="1" applyAlignment="1" applyProtection="1">
      <alignment horizontal="center" vertical="center" wrapText="1"/>
      <protection hidden="1"/>
    </xf>
    <xf numFmtId="2" fontId="1" fillId="21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11" borderId="1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2" fontId="23" fillId="0" borderId="70" xfId="0" applyNumberFormat="1" applyFont="1" applyBorder="1" applyAlignment="1" applyProtection="1">
      <alignment horizontal="center" vertical="center" wrapText="1"/>
      <protection hidden="1"/>
    </xf>
    <xf numFmtId="2" fontId="3" fillId="0" borderId="71" xfId="0" applyNumberFormat="1" applyFont="1" applyBorder="1" applyAlignment="1" applyProtection="1">
      <alignment horizontal="center" vertical="center" wrapText="1"/>
      <protection hidden="1"/>
    </xf>
    <xf numFmtId="2" fontId="3" fillId="0" borderId="72" xfId="0" applyNumberFormat="1" applyFont="1" applyBorder="1" applyAlignment="1" applyProtection="1">
      <alignment horizontal="center" vertical="center" wrapText="1"/>
      <protection hidden="1"/>
    </xf>
    <xf numFmtId="2" fontId="1" fillId="21" borderId="24" xfId="0" applyNumberFormat="1" applyFont="1" applyFill="1" applyBorder="1" applyAlignment="1" applyProtection="1">
      <alignment horizontal="center"/>
      <protection hidden="1"/>
    </xf>
    <xf numFmtId="2" fontId="1" fillId="21" borderId="25" xfId="0" applyNumberFormat="1" applyFont="1" applyFill="1" applyBorder="1" applyAlignment="1" applyProtection="1">
      <alignment horizontal="center"/>
      <protection hidden="1"/>
    </xf>
    <xf numFmtId="2" fontId="1" fillId="21" borderId="23" xfId="0" applyNumberFormat="1" applyFont="1" applyFill="1" applyBorder="1" applyAlignment="1" applyProtection="1">
      <alignment horizontal="center"/>
      <protection hidden="1"/>
    </xf>
    <xf numFmtId="2" fontId="1" fillId="21" borderId="20" xfId="0" applyNumberFormat="1" applyFont="1" applyFill="1" applyBorder="1" applyAlignment="1" applyProtection="1">
      <alignment horizontal="center"/>
      <protection hidden="1"/>
    </xf>
    <xf numFmtId="2" fontId="1" fillId="21" borderId="0" xfId="0" applyNumberFormat="1" applyFont="1" applyFill="1" applyBorder="1" applyAlignment="1" applyProtection="1">
      <alignment horizontal="center"/>
      <protection hidden="1"/>
    </xf>
    <xf numFmtId="2" fontId="1" fillId="21" borderId="28" xfId="0" applyNumberFormat="1" applyFont="1" applyFill="1" applyBorder="1" applyAlignment="1" applyProtection="1">
      <alignment horizontal="center"/>
      <protection hidden="1"/>
    </xf>
    <xf numFmtId="2" fontId="1" fillId="21" borderId="52" xfId="0" applyNumberFormat="1" applyFont="1" applyFill="1" applyBorder="1" applyAlignment="1" applyProtection="1">
      <alignment horizontal="center"/>
      <protection hidden="1"/>
    </xf>
    <xf numFmtId="2" fontId="1" fillId="21" borderId="27" xfId="0" applyNumberFormat="1" applyFont="1" applyFill="1" applyBorder="1" applyAlignment="1" applyProtection="1">
      <alignment horizontal="center"/>
      <protection hidden="1"/>
    </xf>
    <xf numFmtId="2" fontId="1" fillId="21" borderId="22" xfId="0" applyNumberFormat="1" applyFont="1" applyFill="1" applyBorder="1" applyAlignment="1" applyProtection="1">
      <alignment horizontal="center"/>
      <protection hidden="1"/>
    </xf>
    <xf numFmtId="0" fontId="23" fillId="8" borderId="14" xfId="0" applyFont="1" applyFill="1" applyBorder="1" applyAlignment="1" applyProtection="1">
      <alignment horizontal="center" vertical="center" wrapText="1"/>
    </xf>
    <xf numFmtId="0" fontId="23" fillId="8" borderId="15" xfId="0" applyFont="1" applyFill="1" applyBorder="1" applyAlignment="1" applyProtection="1">
      <alignment horizontal="center" vertical="center" wrapText="1"/>
    </xf>
    <xf numFmtId="0" fontId="17" fillId="14" borderId="14" xfId="0" applyFont="1" applyFill="1" applyBorder="1" applyAlignment="1" applyProtection="1">
      <alignment horizontal="center" vertical="center"/>
    </xf>
    <xf numFmtId="0" fontId="17" fillId="14" borderId="16" xfId="0" applyFont="1" applyFill="1" applyBorder="1" applyAlignment="1" applyProtection="1">
      <alignment horizontal="center" vertical="center"/>
    </xf>
    <xf numFmtId="0" fontId="17" fillId="14" borderId="15" xfId="0" applyFont="1" applyFill="1" applyBorder="1" applyAlignment="1" applyProtection="1">
      <alignment horizontal="center" vertical="center"/>
    </xf>
    <xf numFmtId="0" fontId="3" fillId="6" borderId="49" xfId="0" applyFont="1" applyFill="1" applyBorder="1" applyAlignment="1" applyProtection="1">
      <alignment horizontal="center" vertical="center"/>
    </xf>
    <xf numFmtId="0" fontId="3" fillId="6" borderId="47" xfId="0" applyFont="1" applyFill="1" applyBorder="1" applyAlignment="1" applyProtection="1">
      <alignment horizontal="center" vertical="center"/>
    </xf>
    <xf numFmtId="0" fontId="3" fillId="6" borderId="5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horizontal="center" vertical="center"/>
    </xf>
    <xf numFmtId="0" fontId="16" fillId="5" borderId="25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/>
    </xf>
    <xf numFmtId="0" fontId="34" fillId="6" borderId="31" xfId="0" applyFont="1" applyFill="1" applyBorder="1" applyAlignment="1" applyProtection="1">
      <alignment horizontal="center" vertical="center"/>
    </xf>
    <xf numFmtId="0" fontId="51" fillId="8" borderId="47" xfId="0" applyFont="1" applyFill="1" applyBorder="1" applyAlignment="1" applyProtection="1">
      <alignment horizontal="center" vertical="center"/>
    </xf>
    <xf numFmtId="0" fontId="27" fillId="8" borderId="26" xfId="0" applyFont="1" applyFill="1" applyBorder="1" applyAlignment="1" applyProtection="1">
      <alignment horizontal="center" vertical="center"/>
    </xf>
    <xf numFmtId="0" fontId="27" fillId="8" borderId="46" xfId="0" applyFont="1" applyFill="1" applyBorder="1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top" wrapText="1"/>
    </xf>
    <xf numFmtId="0" fontId="3" fillId="6" borderId="32" xfId="0" applyFont="1" applyFill="1" applyBorder="1" applyAlignment="1" applyProtection="1">
      <alignment horizontal="center" vertical="top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horizontal="center" vertical="center"/>
    </xf>
    <xf numFmtId="0" fontId="39" fillId="8" borderId="52" xfId="0" applyFont="1" applyFill="1" applyBorder="1" applyAlignment="1" applyProtection="1">
      <alignment horizontal="center" vertical="center" wrapText="1"/>
    </xf>
    <xf numFmtId="0" fontId="39" fillId="8" borderId="22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left" vertical="center" wrapText="1"/>
    </xf>
    <xf numFmtId="0" fontId="5" fillId="5" borderId="31" xfId="0" applyFont="1" applyFill="1" applyBorder="1" applyAlignment="1" applyProtection="1">
      <alignment horizontal="left" vertical="center" wrapText="1"/>
    </xf>
    <xf numFmtId="0" fontId="42" fillId="14" borderId="14" xfId="0" applyFont="1" applyFill="1" applyBorder="1" applyAlignment="1" applyProtection="1">
      <alignment horizontal="center" vertical="center" wrapText="1"/>
      <protection hidden="1"/>
    </xf>
    <xf numFmtId="0" fontId="42" fillId="14" borderId="16" xfId="0" applyFont="1" applyFill="1" applyBorder="1" applyAlignment="1" applyProtection="1">
      <alignment horizontal="center" vertical="center" wrapText="1"/>
      <protection hidden="1"/>
    </xf>
    <xf numFmtId="0" fontId="42" fillId="14" borderId="15" xfId="0" applyFont="1" applyFill="1" applyBorder="1" applyAlignment="1" applyProtection="1">
      <alignment horizontal="center" vertical="center" wrapText="1"/>
      <protection hidden="1"/>
    </xf>
    <xf numFmtId="0" fontId="14" fillId="10" borderId="24" xfId="0" applyFont="1" applyFill="1" applyBorder="1" applyAlignment="1" applyProtection="1">
      <alignment horizontal="center"/>
    </xf>
    <xf numFmtId="0" fontId="14" fillId="10" borderId="25" xfId="0" applyFont="1" applyFill="1" applyBorder="1" applyAlignment="1" applyProtection="1">
      <alignment horizontal="center"/>
    </xf>
    <xf numFmtId="0" fontId="14" fillId="10" borderId="23" xfId="0" applyFont="1" applyFill="1" applyBorder="1" applyAlignment="1" applyProtection="1">
      <alignment horizontal="center"/>
    </xf>
    <xf numFmtId="0" fontId="14" fillId="10" borderId="20" xfId="0" applyFont="1" applyFill="1" applyBorder="1" applyAlignment="1" applyProtection="1">
      <alignment horizontal="center"/>
    </xf>
    <xf numFmtId="0" fontId="14" fillId="10" borderId="0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52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4" fillId="10" borderId="22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 applyProtection="1">
      <alignment horizontal="center" vertical="center" wrapText="1"/>
    </xf>
    <xf numFmtId="0" fontId="23" fillId="6" borderId="8" xfId="0" applyFont="1" applyFill="1" applyBorder="1" applyAlignment="1" applyProtection="1">
      <alignment horizontal="center" vertical="center" wrapText="1"/>
    </xf>
    <xf numFmtId="0" fontId="23" fillId="6" borderId="9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left" vertical="center" wrapText="1"/>
    </xf>
    <xf numFmtId="0" fontId="5" fillId="5" borderId="5" xfId="0" applyFont="1" applyFill="1" applyBorder="1" applyAlignment="1" applyProtection="1">
      <alignment horizontal="left" vertical="center" wrapText="1"/>
    </xf>
    <xf numFmtId="0" fontId="41" fillId="8" borderId="25" xfId="0" applyFont="1" applyFill="1" applyBorder="1" applyAlignment="1" applyProtection="1">
      <alignment horizontal="center" vertical="center" wrapText="1"/>
    </xf>
    <xf numFmtId="0" fontId="41" fillId="8" borderId="23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41" fillId="8" borderId="22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wrapText="1"/>
    </xf>
    <xf numFmtId="0" fontId="23" fillId="6" borderId="1" xfId="0" applyFont="1" applyFill="1" applyBorder="1" applyAlignment="1" applyProtection="1">
      <alignment horizontal="center" wrapText="1"/>
    </xf>
    <xf numFmtId="0" fontId="23" fillId="6" borderId="48" xfId="0" applyFont="1" applyFill="1" applyBorder="1" applyAlignment="1" applyProtection="1">
      <alignment horizontal="center" wrapText="1"/>
    </xf>
    <xf numFmtId="0" fontId="17" fillId="5" borderId="2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43" fillId="5" borderId="24" xfId="0" applyFont="1" applyFill="1" applyBorder="1" applyAlignment="1" applyProtection="1">
      <alignment horizontal="center" vertical="center"/>
    </xf>
    <xf numFmtId="0" fontId="43" fillId="5" borderId="61" xfId="0" applyFont="1" applyFill="1" applyBorder="1" applyAlignment="1" applyProtection="1">
      <alignment horizontal="center" vertical="center"/>
    </xf>
    <xf numFmtId="0" fontId="43" fillId="5" borderId="60" xfId="0" applyFont="1" applyFill="1" applyBorder="1" applyAlignment="1" applyProtection="1">
      <alignment horizontal="center" vertical="center"/>
    </xf>
    <xf numFmtId="0" fontId="43" fillId="5" borderId="23" xfId="0" applyFont="1" applyFill="1" applyBorder="1" applyAlignment="1" applyProtection="1">
      <alignment horizontal="center" vertical="center"/>
    </xf>
    <xf numFmtId="0" fontId="43" fillId="14" borderId="60" xfId="0" applyFont="1" applyFill="1" applyBorder="1" applyAlignment="1" applyProtection="1">
      <alignment horizontal="center" vertical="center"/>
    </xf>
    <xf numFmtId="0" fontId="43" fillId="14" borderId="23" xfId="0" applyFont="1" applyFill="1" applyBorder="1" applyAlignment="1" applyProtection="1">
      <alignment horizontal="center" vertical="center"/>
    </xf>
    <xf numFmtId="0" fontId="23" fillId="6" borderId="29" xfId="0" applyFont="1" applyFill="1" applyBorder="1" applyAlignment="1">
      <alignment horizontal="right" vertical="center" wrapText="1"/>
    </xf>
    <xf numFmtId="0" fontId="23" fillId="6" borderId="30" xfId="0" applyFont="1" applyFill="1" applyBorder="1" applyAlignment="1">
      <alignment horizontal="right" vertical="center" wrapText="1"/>
    </xf>
    <xf numFmtId="166" fontId="23" fillId="6" borderId="29" xfId="0" applyNumberFormat="1" applyFont="1" applyFill="1" applyBorder="1" applyAlignment="1">
      <alignment horizontal="right" vertical="center" wrapText="1"/>
    </xf>
    <xf numFmtId="166" fontId="23" fillId="6" borderId="30" xfId="0" applyNumberFormat="1" applyFont="1" applyFill="1" applyBorder="1" applyAlignment="1">
      <alignment horizontal="right" vertical="center" wrapText="1"/>
    </xf>
    <xf numFmtId="0" fontId="17" fillId="5" borderId="14" xfId="0" applyFont="1" applyFill="1" applyBorder="1" applyAlignment="1" applyProtection="1">
      <alignment horizontal="center" vertical="center"/>
    </xf>
    <xf numFmtId="0" fontId="17" fillId="5" borderId="16" xfId="0" applyFont="1" applyFill="1" applyBorder="1" applyAlignment="1" applyProtection="1">
      <alignment horizontal="center" vertical="center"/>
    </xf>
    <xf numFmtId="0" fontId="17" fillId="5" borderId="15" xfId="0" applyFont="1" applyFill="1" applyBorder="1" applyAlignment="1" applyProtection="1">
      <alignment horizontal="center" vertical="center"/>
    </xf>
    <xf numFmtId="0" fontId="22" fillId="14" borderId="14" xfId="0" applyFont="1" applyFill="1" applyBorder="1" applyAlignment="1" applyProtection="1">
      <alignment horizontal="center" vertical="center"/>
    </xf>
    <xf numFmtId="0" fontId="22" fillId="14" borderId="16" xfId="0" applyFont="1" applyFill="1" applyBorder="1" applyAlignment="1" applyProtection="1">
      <alignment horizontal="center" vertical="center"/>
    </xf>
    <xf numFmtId="0" fontId="22" fillId="14" borderId="15" xfId="0" applyFont="1" applyFill="1" applyBorder="1" applyAlignment="1" applyProtection="1">
      <alignment horizontal="center" vertical="center"/>
    </xf>
    <xf numFmtId="0" fontId="5" fillId="14" borderId="14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15" xfId="0" applyFont="1" applyFill="1" applyBorder="1" applyAlignment="1" applyProtection="1">
      <alignment horizontal="center" vertical="center"/>
    </xf>
    <xf numFmtId="0" fontId="23" fillId="8" borderId="7" xfId="0" applyFont="1" applyFill="1" applyBorder="1" applyAlignment="1" applyProtection="1">
      <alignment horizontal="center" vertical="center"/>
    </xf>
    <xf numFmtId="0" fontId="23" fillId="8" borderId="9" xfId="0" applyFont="1" applyFill="1" applyBorder="1" applyAlignment="1" applyProtection="1">
      <alignment horizontal="center" vertical="center"/>
    </xf>
    <xf numFmtId="164" fontId="8" fillId="10" borderId="14" xfId="0" applyNumberFormat="1" applyFont="1" applyFill="1" applyBorder="1" applyAlignment="1" applyProtection="1">
      <alignment horizontal="center" vertical="center"/>
      <protection hidden="1"/>
    </xf>
    <xf numFmtId="0" fontId="8" fillId="10" borderId="15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 applyProtection="1">
      <alignment horizontal="left" vertical="center" wrapText="1"/>
    </xf>
    <xf numFmtId="0" fontId="7" fillId="8" borderId="2" xfId="0" applyFont="1" applyFill="1" applyBorder="1" applyAlignment="1" applyProtection="1">
      <alignment horizontal="left" vertical="center" wrapText="1"/>
    </xf>
    <xf numFmtId="0" fontId="5" fillId="5" borderId="24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2" fontId="3" fillId="13" borderId="37" xfId="2" applyBorder="1" applyAlignment="1" applyProtection="1">
      <alignment horizontal="center" vertical="center"/>
      <protection locked="0" hidden="1"/>
    </xf>
    <xf numFmtId="2" fontId="3" fillId="13" borderId="64" xfId="2" applyBorder="1" applyAlignment="1" applyProtection="1">
      <alignment horizontal="center" vertical="center"/>
      <protection locked="0" hidden="1"/>
    </xf>
    <xf numFmtId="0" fontId="12" fillId="5" borderId="42" xfId="0" applyFont="1" applyFill="1" applyBorder="1" applyAlignment="1" applyProtection="1">
      <alignment horizontal="center" vertical="center" wrapText="1"/>
    </xf>
    <xf numFmtId="0" fontId="12" fillId="5" borderId="46" xfId="0" applyFont="1" applyFill="1" applyBorder="1" applyAlignment="1" applyProtection="1">
      <alignment horizontal="center" vertical="center" wrapText="1"/>
    </xf>
    <xf numFmtId="0" fontId="7" fillId="8" borderId="63" xfId="0" applyFont="1" applyFill="1" applyBorder="1" applyAlignment="1" applyProtection="1">
      <alignment horizontal="center" vertical="center" wrapText="1"/>
    </xf>
    <xf numFmtId="0" fontId="7" fillId="8" borderId="46" xfId="0" applyFont="1" applyFill="1" applyBorder="1" applyAlignment="1" applyProtection="1">
      <alignment horizontal="center" vertical="center" wrapText="1"/>
    </xf>
    <xf numFmtId="0" fontId="12" fillId="14" borderId="14" xfId="0" applyFont="1" applyFill="1" applyBorder="1" applyAlignment="1" applyProtection="1">
      <alignment horizontal="center" vertical="center" wrapText="1"/>
    </xf>
    <xf numFmtId="0" fontId="12" fillId="14" borderId="15" xfId="0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/>
    </xf>
    <xf numFmtId="0" fontId="4" fillId="9" borderId="34" xfId="0" applyFont="1" applyFill="1" applyBorder="1" applyAlignment="1" applyProtection="1">
      <alignment horizontal="center" vertical="center"/>
    </xf>
    <xf numFmtId="164" fontId="7" fillId="12" borderId="52" xfId="0" applyNumberFormat="1" applyFont="1" applyFill="1" applyBorder="1" applyAlignment="1" applyProtection="1">
      <alignment horizontal="center" vertical="center" wrapText="1"/>
    </xf>
    <xf numFmtId="164" fontId="7" fillId="12" borderId="63" xfId="0" applyNumberFormat="1" applyFont="1" applyFill="1" applyBorder="1" applyAlignment="1" applyProtection="1">
      <alignment horizontal="center" vertical="center" wrapText="1"/>
    </xf>
    <xf numFmtId="0" fontId="23" fillId="6" borderId="11" xfId="0" applyFont="1" applyFill="1" applyBorder="1" applyAlignment="1" applyProtection="1">
      <alignment horizontal="center" vertical="center"/>
    </xf>
    <xf numFmtId="0" fontId="23" fillId="6" borderId="3" xfId="0" applyFont="1" applyFill="1" applyBorder="1" applyAlignment="1" applyProtection="1">
      <alignment horizontal="center" vertical="center"/>
    </xf>
    <xf numFmtId="0" fontId="23" fillId="6" borderId="12" xfId="0" applyFont="1" applyFill="1" applyBorder="1" applyAlignment="1" applyProtection="1">
      <alignment horizontal="center" vertical="center"/>
    </xf>
    <xf numFmtId="0" fontId="5" fillId="5" borderId="49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horizontal="center" vertical="center"/>
    </xf>
    <xf numFmtId="0" fontId="5" fillId="5" borderId="5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0" fontId="45" fillId="0" borderId="14" xfId="0" applyFont="1" applyFill="1" applyBorder="1" applyAlignment="1" applyProtection="1">
      <alignment horizontal="center" vertical="center"/>
    </xf>
    <xf numFmtId="0" fontId="45" fillId="0" borderId="16" xfId="0" applyFont="1" applyFill="1" applyBorder="1" applyAlignment="1" applyProtection="1">
      <alignment horizontal="center" vertical="center"/>
    </xf>
    <xf numFmtId="0" fontId="45" fillId="0" borderId="15" xfId="0" applyFont="1" applyFill="1" applyBorder="1" applyAlignment="1" applyProtection="1">
      <alignment horizontal="center" vertical="center"/>
    </xf>
    <xf numFmtId="0" fontId="3" fillId="13" borderId="24" xfId="2" applyNumberFormat="1" applyBorder="1" applyAlignment="1" applyProtection="1">
      <alignment horizontal="center" vertical="center"/>
      <protection locked="0" hidden="1"/>
    </xf>
    <xf numFmtId="0" fontId="3" fillId="13" borderId="23" xfId="2" applyNumberFormat="1" applyBorder="1" applyAlignment="1" applyProtection="1">
      <alignment horizontal="center" vertical="center"/>
      <protection locked="0" hidden="1"/>
    </xf>
    <xf numFmtId="0" fontId="3" fillId="13" borderId="52" xfId="2" applyNumberFormat="1" applyBorder="1" applyAlignment="1" applyProtection="1">
      <alignment horizontal="center" vertical="center"/>
      <protection locked="0" hidden="1"/>
    </xf>
    <xf numFmtId="0" fontId="3" fillId="13" borderId="22" xfId="2" applyNumberFormat="1" applyBorder="1" applyAlignment="1" applyProtection="1">
      <alignment horizontal="center" vertical="center"/>
      <protection locked="0" hidden="1"/>
    </xf>
    <xf numFmtId="0" fontId="7" fillId="6" borderId="35" xfId="0" applyFont="1" applyFill="1" applyBorder="1" applyAlignment="1" applyProtection="1">
      <alignment horizontal="left" vertical="center" wrapText="1"/>
    </xf>
    <xf numFmtId="0" fontId="7" fillId="6" borderId="36" xfId="0" applyFont="1" applyFill="1" applyBorder="1" applyAlignment="1" applyProtection="1">
      <alignment horizontal="left" vertical="center" wrapText="1"/>
    </xf>
    <xf numFmtId="0" fontId="37" fillId="25" borderId="37" xfId="0" applyFont="1" applyFill="1" applyBorder="1" applyAlignment="1">
      <alignment horizontal="center" vertical="center"/>
    </xf>
    <xf numFmtId="0" fontId="37" fillId="25" borderId="59" xfId="0" applyFont="1" applyFill="1" applyBorder="1" applyAlignment="1">
      <alignment horizontal="center" vertical="center"/>
    </xf>
    <xf numFmtId="0" fontId="37" fillId="25" borderId="64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42" fillId="11" borderId="14" xfId="0" applyFont="1" applyFill="1" applyBorder="1" applyAlignment="1">
      <alignment horizontal="center" vertical="center"/>
    </xf>
    <xf numFmtId="0" fontId="42" fillId="11" borderId="16" xfId="0" applyFont="1" applyFill="1" applyBorder="1" applyAlignment="1">
      <alignment horizontal="center" vertical="center"/>
    </xf>
    <xf numFmtId="0" fontId="42" fillId="11" borderId="15" xfId="0" applyFont="1" applyFill="1" applyBorder="1" applyAlignment="1">
      <alignment horizontal="center" vertical="center"/>
    </xf>
    <xf numFmtId="0" fontId="42" fillId="11" borderId="7" xfId="0" applyFont="1" applyFill="1" applyBorder="1" applyAlignment="1">
      <alignment horizontal="center" vertical="center"/>
    </xf>
    <xf numFmtId="0" fontId="42" fillId="11" borderId="8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64" fontId="37" fillId="25" borderId="2" xfId="0" applyNumberFormat="1" applyFont="1" applyFill="1" applyBorder="1" applyAlignment="1">
      <alignment horizontal="center" vertical="center" wrapText="1"/>
    </xf>
    <xf numFmtId="0" fontId="47" fillId="25" borderId="2" xfId="0" applyFont="1" applyFill="1" applyBorder="1" applyAlignment="1">
      <alignment horizontal="center" vertical="center" wrapText="1"/>
    </xf>
    <xf numFmtId="0" fontId="47" fillId="25" borderId="5" xfId="0" applyFont="1" applyFill="1" applyBorder="1" applyAlignment="1">
      <alignment horizontal="center" vertical="center" wrapText="1"/>
    </xf>
    <xf numFmtId="164" fontId="37" fillId="25" borderId="10" xfId="0" applyNumberFormat="1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6" xfId="0" applyFont="1" applyFill="1" applyBorder="1" applyAlignment="1">
      <alignment horizontal="center" vertical="center" wrapText="1"/>
    </xf>
    <xf numFmtId="164" fontId="37" fillId="25" borderId="31" xfId="0" applyNumberFormat="1" applyFont="1" applyFill="1" applyBorder="1" applyAlignment="1">
      <alignment horizontal="center" vertical="center" wrapText="1"/>
    </xf>
    <xf numFmtId="164" fontId="37" fillId="25" borderId="32" xfId="0" applyNumberFormat="1" applyFont="1" applyFill="1" applyBorder="1" applyAlignment="1">
      <alignment horizontal="center" vertical="center" wrapText="1"/>
    </xf>
    <xf numFmtId="0" fontId="16" fillId="20" borderId="24" xfId="0" applyFont="1" applyFill="1" applyBorder="1" applyAlignment="1" applyProtection="1">
      <alignment horizontal="center" vertical="center"/>
    </xf>
    <xf numFmtId="0" fontId="16" fillId="20" borderId="23" xfId="0" applyFont="1" applyFill="1" applyBorder="1" applyAlignment="1" applyProtection="1">
      <alignment horizontal="center" vertical="center"/>
    </xf>
    <xf numFmtId="0" fontId="16" fillId="20" borderId="20" xfId="0" applyFont="1" applyFill="1" applyBorder="1" applyAlignment="1" applyProtection="1">
      <alignment horizontal="center" vertical="center"/>
    </xf>
    <xf numFmtId="0" fontId="16" fillId="20" borderId="28" xfId="0" applyFont="1" applyFill="1" applyBorder="1" applyAlignment="1" applyProtection="1">
      <alignment horizontal="center" vertical="center"/>
    </xf>
    <xf numFmtId="0" fontId="16" fillId="20" borderId="52" xfId="0" applyFont="1" applyFill="1" applyBorder="1" applyAlignment="1" applyProtection="1">
      <alignment horizontal="center" vertical="center"/>
    </xf>
    <xf numFmtId="0" fontId="16" fillId="20" borderId="22" xfId="0" applyFont="1" applyFill="1" applyBorder="1" applyAlignment="1" applyProtection="1">
      <alignment horizontal="center" vertical="center"/>
    </xf>
    <xf numFmtId="0" fontId="37" fillId="25" borderId="18" xfId="0" applyFont="1" applyFill="1" applyBorder="1" applyAlignment="1">
      <alignment horizontal="center" vertical="center" wrapText="1"/>
    </xf>
    <xf numFmtId="0" fontId="47" fillId="25" borderId="18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/>
    </xf>
    <xf numFmtId="0" fontId="17" fillId="11" borderId="25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52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3" fontId="37" fillId="25" borderId="69" xfId="0" applyNumberFormat="1" applyFont="1" applyFill="1" applyBorder="1" applyAlignment="1">
      <alignment horizontal="center" vertical="center" wrapText="1"/>
    </xf>
    <xf numFmtId="0" fontId="47" fillId="25" borderId="62" xfId="0" applyFont="1" applyFill="1" applyBorder="1" applyAlignment="1">
      <alignment horizontal="center" vertical="center" wrapText="1"/>
    </xf>
    <xf numFmtId="0" fontId="47" fillId="25" borderId="51" xfId="0" applyFont="1" applyFill="1" applyBorder="1" applyAlignment="1">
      <alignment horizontal="center" vertical="center" wrapText="1"/>
    </xf>
    <xf numFmtId="164" fontId="37" fillId="25" borderId="19" xfId="0" applyNumberFormat="1" applyFont="1" applyFill="1" applyBorder="1" applyAlignment="1">
      <alignment horizontal="center" vertical="center" wrapText="1"/>
    </xf>
    <xf numFmtId="0" fontId="47" fillId="25" borderId="26" xfId="0" applyFont="1" applyFill="1" applyBorder="1" applyAlignment="1">
      <alignment horizontal="center" vertical="center" wrapText="1"/>
    </xf>
    <xf numFmtId="0" fontId="47" fillId="25" borderId="1" xfId="0" applyFont="1" applyFill="1" applyBorder="1" applyAlignment="1">
      <alignment horizontal="center" vertical="center" wrapText="1"/>
    </xf>
    <xf numFmtId="14" fontId="37" fillId="25" borderId="33" xfId="0" applyNumberFormat="1" applyFont="1" applyFill="1" applyBorder="1" applyAlignment="1">
      <alignment horizontal="center" vertical="center" wrapText="1"/>
    </xf>
    <xf numFmtId="0" fontId="47" fillId="25" borderId="57" xfId="0" applyFont="1" applyFill="1" applyBorder="1" applyAlignment="1">
      <alignment horizontal="center" vertical="center" wrapText="1"/>
    </xf>
    <xf numFmtId="0" fontId="47" fillId="25" borderId="48" xfId="0" applyFont="1" applyFill="1" applyBorder="1" applyAlignment="1">
      <alignment horizontal="center" vertical="center" wrapText="1"/>
    </xf>
    <xf numFmtId="0" fontId="37" fillId="25" borderId="50" xfId="0" applyFont="1" applyFill="1" applyBorder="1" applyAlignment="1">
      <alignment horizontal="center" vertical="center" wrapText="1"/>
    </xf>
    <xf numFmtId="0" fontId="37" fillId="25" borderId="57" xfId="0" applyFont="1" applyFill="1" applyBorder="1" applyAlignment="1">
      <alignment horizontal="center" vertical="center" wrapText="1"/>
    </xf>
    <xf numFmtId="0" fontId="37" fillId="25" borderId="53" xfId="0" applyFont="1" applyFill="1" applyBorder="1" applyAlignment="1">
      <alignment horizontal="center" vertical="center" wrapText="1"/>
    </xf>
    <xf numFmtId="0" fontId="52" fillId="25" borderId="19" xfId="0" applyFont="1" applyFill="1" applyBorder="1" applyAlignment="1" applyProtection="1">
      <alignment horizontal="center" vertical="center"/>
    </xf>
    <xf numFmtId="0" fontId="52" fillId="25" borderId="26" xfId="0" applyFont="1" applyFill="1" applyBorder="1" applyAlignment="1" applyProtection="1">
      <alignment horizontal="center" vertical="center"/>
    </xf>
    <xf numFmtId="0" fontId="52" fillId="25" borderId="46" xfId="0" applyFont="1" applyFill="1" applyBorder="1" applyAlignment="1" applyProtection="1">
      <alignment horizontal="center" vertical="center"/>
    </xf>
    <xf numFmtId="0" fontId="37" fillId="26" borderId="18" xfId="0" applyFont="1" applyFill="1" applyBorder="1" applyAlignment="1">
      <alignment horizontal="center" vertical="center" wrapText="1"/>
    </xf>
    <xf numFmtId="0" fontId="47" fillId="26" borderId="18" xfId="0" applyFont="1" applyFill="1" applyBorder="1" applyAlignment="1">
      <alignment horizontal="center" vertical="center" wrapText="1"/>
    </xf>
    <xf numFmtId="0" fontId="47" fillId="26" borderId="36" xfId="0" applyFont="1" applyFill="1" applyBorder="1" applyAlignment="1">
      <alignment horizontal="center" vertical="center" wrapText="1"/>
    </xf>
    <xf numFmtId="164" fontId="37" fillId="26" borderId="2" xfId="0" applyNumberFormat="1" applyFont="1" applyFill="1" applyBorder="1" applyAlignment="1">
      <alignment horizontal="center" vertical="center" wrapText="1"/>
    </xf>
    <xf numFmtId="0" fontId="47" fillId="26" borderId="2" xfId="0" applyFont="1" applyFill="1" applyBorder="1" applyAlignment="1">
      <alignment horizontal="center" vertical="center" wrapText="1"/>
    </xf>
    <xf numFmtId="0" fontId="47" fillId="26" borderId="5" xfId="0" applyFont="1" applyFill="1" applyBorder="1" applyAlignment="1">
      <alignment horizontal="center" vertical="center" wrapText="1"/>
    </xf>
    <xf numFmtId="164" fontId="37" fillId="26" borderId="10" xfId="0" applyNumberFormat="1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47" fillId="26" borderId="6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/>
    </xf>
    <xf numFmtId="0" fontId="38" fillId="8" borderId="15" xfId="0" applyFont="1" applyFill="1" applyBorder="1" applyAlignment="1">
      <alignment horizontal="center" vertical="center"/>
    </xf>
    <xf numFmtId="0" fontId="37" fillId="20" borderId="49" xfId="0" applyFont="1" applyFill="1" applyBorder="1" applyAlignment="1" applyProtection="1">
      <alignment horizontal="center" vertical="center" wrapText="1"/>
    </xf>
    <xf numFmtId="0" fontId="37" fillId="20" borderId="58" xfId="0" applyFont="1" applyFill="1" applyBorder="1" applyAlignment="1" applyProtection="1">
      <alignment horizontal="center" vertical="center" wrapText="1"/>
    </xf>
    <xf numFmtId="0" fontId="37" fillId="20" borderId="42" xfId="0" applyFont="1" applyFill="1" applyBorder="1" applyAlignment="1" applyProtection="1">
      <alignment horizontal="center" vertical="center" wrapText="1"/>
    </xf>
    <xf numFmtId="0" fontId="37" fillId="20" borderId="31" xfId="0" applyFont="1" applyFill="1" applyBorder="1" applyAlignment="1" applyProtection="1">
      <alignment horizontal="center" vertical="center"/>
    </xf>
    <xf numFmtId="0" fontId="37" fillId="20" borderId="2" xfId="0" applyFont="1" applyFill="1" applyBorder="1" applyAlignment="1" applyProtection="1">
      <alignment horizontal="center" vertical="center"/>
    </xf>
    <xf numFmtId="0" fontId="37" fillId="20" borderId="5" xfId="0" applyFont="1" applyFill="1" applyBorder="1" applyAlignment="1" applyProtection="1">
      <alignment horizontal="center" vertical="center"/>
    </xf>
    <xf numFmtId="3" fontId="37" fillId="20" borderId="47" xfId="0" applyNumberFormat="1" applyFont="1" applyFill="1" applyBorder="1" applyAlignment="1" applyProtection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/>
    </xf>
    <xf numFmtId="0" fontId="47" fillId="25" borderId="63" xfId="0" applyFont="1" applyFill="1" applyBorder="1" applyAlignment="1">
      <alignment horizontal="center" vertical="center" wrapText="1"/>
    </xf>
    <xf numFmtId="0" fontId="47" fillId="25" borderId="46" xfId="0" applyFont="1" applyFill="1" applyBorder="1" applyAlignment="1">
      <alignment horizontal="center" vertical="center" wrapText="1"/>
    </xf>
    <xf numFmtId="0" fontId="47" fillId="25" borderId="53" xfId="0" applyFont="1" applyFill="1" applyBorder="1" applyAlignment="1">
      <alignment horizontal="center" vertical="center" wrapText="1"/>
    </xf>
    <xf numFmtId="164" fontId="37" fillId="25" borderId="47" xfId="0" applyNumberFormat="1" applyFont="1" applyFill="1" applyBorder="1" applyAlignment="1">
      <alignment horizontal="center" vertical="center" wrapText="1"/>
    </xf>
    <xf numFmtId="164" fontId="37" fillId="25" borderId="26" xfId="0" applyNumberFormat="1" applyFont="1" applyFill="1" applyBorder="1" applyAlignment="1">
      <alignment horizontal="center" vertical="center" wrapText="1"/>
    </xf>
    <xf numFmtId="164" fontId="37" fillId="25" borderId="46" xfId="0" applyNumberFormat="1" applyFont="1" applyFill="1" applyBorder="1" applyAlignment="1">
      <alignment horizontal="center" vertical="center" wrapText="1"/>
    </xf>
    <xf numFmtId="0" fontId="37" fillId="21" borderId="18" xfId="0" applyFont="1" applyFill="1" applyBorder="1" applyAlignment="1">
      <alignment horizontal="center" vertical="center" wrapText="1"/>
    </xf>
    <xf numFmtId="0" fontId="47" fillId="21" borderId="18" xfId="0" applyFont="1" applyFill="1" applyBorder="1" applyAlignment="1">
      <alignment horizontal="center" vertical="center" wrapText="1"/>
    </xf>
    <xf numFmtId="164" fontId="37" fillId="21" borderId="1" xfId="0" applyNumberFormat="1" applyFont="1" applyFill="1" applyBorder="1" applyAlignment="1">
      <alignment horizontal="center" vertical="center" wrapText="1"/>
    </xf>
    <xf numFmtId="0" fontId="47" fillId="21" borderId="2" xfId="0" applyFont="1" applyFill="1" applyBorder="1" applyAlignment="1">
      <alignment horizontal="center" vertical="center" wrapText="1"/>
    </xf>
    <xf numFmtId="164" fontId="37" fillId="21" borderId="10" xfId="0" applyNumberFormat="1" applyFont="1" applyFill="1" applyBorder="1" applyAlignment="1">
      <alignment horizontal="center" vertical="center" wrapText="1"/>
    </xf>
    <xf numFmtId="0" fontId="47" fillId="21" borderId="10" xfId="0" applyFont="1" applyFill="1" applyBorder="1" applyAlignment="1">
      <alignment horizontal="center" vertical="center" wrapText="1"/>
    </xf>
    <xf numFmtId="0" fontId="37" fillId="20" borderId="61" xfId="0" applyFont="1" applyFill="1" applyBorder="1" applyAlignment="1" applyProtection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49" fontId="37" fillId="20" borderId="47" xfId="0" applyNumberFormat="1" applyFont="1" applyFill="1" applyBorder="1" applyAlignment="1" applyProtection="1">
      <alignment horizontal="center" vertical="center" wrapText="1"/>
    </xf>
    <xf numFmtId="0" fontId="37" fillId="25" borderId="39" xfId="0" applyFont="1" applyFill="1" applyBorder="1" applyAlignment="1">
      <alignment horizontal="center" vertical="center" wrapText="1"/>
    </xf>
    <xf numFmtId="1" fontId="37" fillId="25" borderId="18" xfId="0" applyNumberFormat="1" applyFont="1" applyFill="1" applyBorder="1" applyAlignment="1">
      <alignment horizontal="center" vertical="center" wrapText="1"/>
    </xf>
    <xf numFmtId="1" fontId="47" fillId="25" borderId="18" xfId="0" applyNumberFormat="1" applyFont="1" applyFill="1" applyBorder="1" applyAlignment="1">
      <alignment horizontal="center" vertical="center" wrapText="1"/>
    </xf>
    <xf numFmtId="1" fontId="47" fillId="25" borderId="36" xfId="0" applyNumberFormat="1" applyFont="1" applyFill="1" applyBorder="1" applyAlignment="1">
      <alignment horizontal="center" vertical="center" wrapText="1"/>
    </xf>
    <xf numFmtId="2" fontId="37" fillId="0" borderId="31" xfId="0" applyNumberFormat="1" applyFont="1" applyFill="1" applyBorder="1" applyAlignment="1">
      <alignment horizontal="center" vertical="center"/>
    </xf>
    <xf numFmtId="2" fontId="37" fillId="0" borderId="3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0" fontId="38" fillId="8" borderId="66" xfId="0" applyFont="1" applyFill="1" applyBorder="1" applyAlignment="1">
      <alignment horizontal="center" vertical="center"/>
    </xf>
    <xf numFmtId="0" fontId="38" fillId="8" borderId="41" xfId="0" applyFont="1" applyFill="1" applyBorder="1" applyAlignment="1">
      <alignment horizontal="center" vertical="center"/>
    </xf>
    <xf numFmtId="0" fontId="38" fillId="8" borderId="24" xfId="0" applyFont="1" applyFill="1" applyBorder="1" applyAlignment="1">
      <alignment horizontal="center" vertical="center"/>
    </xf>
    <xf numFmtId="0" fontId="38" fillId="8" borderId="25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0" fontId="38" fillId="8" borderId="52" xfId="0" applyFont="1" applyFill="1" applyBorder="1" applyAlignment="1">
      <alignment horizontal="center" vertical="center"/>
    </xf>
    <xf numFmtId="0" fontId="38" fillId="8" borderId="27" xfId="0" applyFont="1" applyFill="1" applyBorder="1" applyAlignment="1">
      <alignment horizontal="center" vertical="center"/>
    </xf>
    <xf numFmtId="0" fontId="38" fillId="8" borderId="22" xfId="0" applyFont="1" applyFill="1" applyBorder="1" applyAlignment="1">
      <alignment horizontal="center" vertical="center"/>
    </xf>
    <xf numFmtId="0" fontId="16" fillId="20" borderId="24" xfId="0" applyFont="1" applyFill="1" applyBorder="1" applyAlignment="1" applyProtection="1">
      <alignment horizontal="center" vertical="center" wrapText="1"/>
    </xf>
    <xf numFmtId="0" fontId="16" fillId="20" borderId="23" xfId="0" applyFont="1" applyFill="1" applyBorder="1" applyAlignment="1" applyProtection="1">
      <alignment horizontal="center" vertical="center" wrapText="1"/>
    </xf>
    <xf numFmtId="0" fontId="16" fillId="20" borderId="20" xfId="0" applyFont="1" applyFill="1" applyBorder="1" applyAlignment="1" applyProtection="1">
      <alignment horizontal="center" vertical="center" wrapText="1"/>
    </xf>
    <xf numFmtId="0" fontId="16" fillId="20" borderId="28" xfId="0" applyFont="1" applyFill="1" applyBorder="1" applyAlignment="1" applyProtection="1">
      <alignment horizontal="center" vertical="center" wrapText="1"/>
    </xf>
    <xf numFmtId="0" fontId="16" fillId="20" borderId="52" xfId="0" applyFont="1" applyFill="1" applyBorder="1" applyAlignment="1" applyProtection="1">
      <alignment horizontal="center" vertical="center" wrapText="1"/>
    </xf>
    <xf numFmtId="0" fontId="16" fillId="20" borderId="22" xfId="0" applyFont="1" applyFill="1" applyBorder="1" applyAlignment="1" applyProtection="1">
      <alignment horizontal="center" vertical="center" wrapText="1"/>
    </xf>
    <xf numFmtId="0" fontId="37" fillId="20" borderId="47" xfId="0" applyFont="1" applyFill="1" applyBorder="1" applyAlignment="1" applyProtection="1">
      <alignment horizontal="center" vertical="center" wrapText="1"/>
    </xf>
    <xf numFmtId="0" fontId="37" fillId="25" borderId="61" xfId="0" applyFont="1" applyFill="1" applyBorder="1" applyAlignment="1">
      <alignment horizontal="center" vertical="center" wrapText="1"/>
    </xf>
    <xf numFmtId="0" fontId="37" fillId="25" borderId="2" xfId="0" applyFont="1" applyFill="1" applyBorder="1" applyAlignment="1">
      <alignment horizontal="center" vertical="center" wrapText="1"/>
    </xf>
    <xf numFmtId="0" fontId="37" fillId="21" borderId="39" xfId="0" applyFont="1" applyFill="1" applyBorder="1" applyAlignment="1">
      <alignment horizontal="center" vertical="center" wrapText="1"/>
    </xf>
    <xf numFmtId="164" fontId="37" fillId="21" borderId="31" xfId="0" applyNumberFormat="1" applyFont="1" applyFill="1" applyBorder="1" applyAlignment="1">
      <alignment horizontal="center" vertical="center" wrapText="1"/>
    </xf>
    <xf numFmtId="164" fontId="37" fillId="21" borderId="32" xfId="0" applyNumberFormat="1" applyFont="1" applyFill="1" applyBorder="1" applyAlignment="1">
      <alignment horizontal="center" vertical="center" wrapText="1"/>
    </xf>
    <xf numFmtId="0" fontId="37" fillId="21" borderId="50" xfId="0" applyFont="1" applyFill="1" applyBorder="1" applyAlignment="1">
      <alignment horizontal="center" vertical="center" wrapText="1"/>
    </xf>
    <xf numFmtId="0" fontId="37" fillId="21" borderId="57" xfId="0" applyFont="1" applyFill="1" applyBorder="1" applyAlignment="1">
      <alignment horizontal="center" vertical="center" wrapText="1"/>
    </xf>
    <xf numFmtId="0" fontId="37" fillId="21" borderId="53" xfId="0" applyFont="1" applyFill="1" applyBorder="1" applyAlignment="1">
      <alignment horizontal="center" vertical="center" wrapText="1"/>
    </xf>
    <xf numFmtId="164" fontId="37" fillId="21" borderId="47" xfId="0" applyNumberFormat="1" applyFont="1" applyFill="1" applyBorder="1" applyAlignment="1">
      <alignment horizontal="center" vertical="center" wrapText="1"/>
    </xf>
    <xf numFmtId="164" fontId="37" fillId="21" borderId="26" xfId="0" applyNumberFormat="1" applyFont="1" applyFill="1" applyBorder="1" applyAlignment="1">
      <alignment horizontal="center" vertical="center" wrapText="1"/>
    </xf>
    <xf numFmtId="164" fontId="37" fillId="21" borderId="46" xfId="0" applyNumberFormat="1" applyFont="1" applyFill="1" applyBorder="1" applyAlignment="1">
      <alignment horizontal="center" vertical="center" wrapText="1"/>
    </xf>
    <xf numFmtId="164" fontId="52" fillId="25" borderId="19" xfId="0" applyNumberFormat="1" applyFont="1" applyFill="1" applyBorder="1" applyAlignment="1" applyProtection="1">
      <alignment horizontal="center" vertical="center"/>
    </xf>
    <xf numFmtId="164" fontId="52" fillId="25" borderId="26" xfId="0" applyNumberFormat="1" applyFont="1" applyFill="1" applyBorder="1" applyAlignment="1" applyProtection="1">
      <alignment horizontal="center" vertical="center"/>
    </xf>
    <xf numFmtId="164" fontId="52" fillId="25" borderId="46" xfId="0" applyNumberFormat="1" applyFont="1" applyFill="1" applyBorder="1" applyAlignment="1" applyProtection="1">
      <alignment horizontal="center" vertical="center"/>
    </xf>
    <xf numFmtId="0" fontId="52" fillId="25" borderId="33" xfId="0" applyFont="1" applyFill="1" applyBorder="1" applyAlignment="1" applyProtection="1">
      <alignment horizontal="center" vertical="center"/>
    </xf>
    <xf numFmtId="0" fontId="52" fillId="25" borderId="57" xfId="0" applyFont="1" applyFill="1" applyBorder="1" applyAlignment="1" applyProtection="1">
      <alignment horizontal="center" vertical="center"/>
    </xf>
    <xf numFmtId="0" fontId="52" fillId="25" borderId="53" xfId="0" applyFont="1" applyFill="1" applyBorder="1" applyAlignment="1" applyProtection="1">
      <alignment horizontal="center" vertical="center"/>
    </xf>
    <xf numFmtId="14" fontId="52" fillId="25" borderId="50" xfId="0" applyNumberFormat="1" applyFont="1" applyFill="1" applyBorder="1" applyAlignment="1" applyProtection="1">
      <alignment horizontal="center" vertical="center"/>
    </xf>
    <xf numFmtId="14" fontId="52" fillId="25" borderId="57" xfId="0" applyNumberFormat="1" applyFont="1" applyFill="1" applyBorder="1" applyAlignment="1" applyProtection="1">
      <alignment horizontal="center" vertical="center"/>
    </xf>
    <xf numFmtId="14" fontId="52" fillId="25" borderId="48" xfId="0" applyNumberFormat="1" applyFont="1" applyFill="1" applyBorder="1" applyAlignment="1" applyProtection="1">
      <alignment horizontal="center" vertical="center"/>
    </xf>
    <xf numFmtId="0" fontId="52" fillId="25" borderId="2" xfId="0" applyFont="1" applyFill="1" applyBorder="1" applyAlignment="1" applyProtection="1">
      <alignment horizontal="center" vertical="center"/>
    </xf>
    <xf numFmtId="164" fontId="52" fillId="25" borderId="1" xfId="0" applyNumberFormat="1" applyFont="1" applyFill="1" applyBorder="1" applyAlignment="1" applyProtection="1">
      <alignment horizontal="center" vertical="center"/>
    </xf>
    <xf numFmtId="14" fontId="52" fillId="25" borderId="33" xfId="0" applyNumberFormat="1" applyFont="1" applyFill="1" applyBorder="1" applyAlignment="1" applyProtection="1">
      <alignment horizontal="center" vertical="center"/>
    </xf>
    <xf numFmtId="0" fontId="37" fillId="27" borderId="49" xfId="0" applyFont="1" applyFill="1" applyBorder="1" applyAlignment="1" applyProtection="1">
      <alignment horizontal="center" vertical="center" wrapText="1"/>
    </xf>
    <xf numFmtId="0" fontId="37" fillId="27" borderId="58" xfId="0" applyFont="1" applyFill="1" applyBorder="1" applyAlignment="1" applyProtection="1">
      <alignment horizontal="center" vertical="center" wrapText="1"/>
    </xf>
    <xf numFmtId="0" fontId="37" fillId="27" borderId="42" xfId="0" applyFont="1" applyFill="1" applyBorder="1" applyAlignment="1" applyProtection="1">
      <alignment horizontal="center" vertical="center" wrapText="1"/>
    </xf>
    <xf numFmtId="0" fontId="37" fillId="20" borderId="47" xfId="0" applyFont="1" applyFill="1" applyBorder="1" applyAlignment="1" applyProtection="1">
      <alignment horizontal="center" vertical="center"/>
    </xf>
    <xf numFmtId="0" fontId="37" fillId="20" borderId="26" xfId="0" applyFont="1" applyFill="1" applyBorder="1" applyAlignment="1" applyProtection="1">
      <alignment horizontal="center" vertical="center"/>
    </xf>
    <xf numFmtId="0" fontId="37" fillId="20" borderId="46" xfId="0" applyFont="1" applyFill="1" applyBorder="1" applyAlignment="1" applyProtection="1">
      <alignment horizontal="center" vertical="center"/>
    </xf>
    <xf numFmtId="3" fontId="37" fillId="20" borderId="60" xfId="0" applyNumberFormat="1" applyFont="1" applyFill="1" applyBorder="1" applyAlignment="1" applyProtection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52" fillId="25" borderId="31" xfId="0" applyFont="1" applyFill="1" applyBorder="1" applyAlignment="1" applyProtection="1">
      <alignment horizontal="center" vertical="center"/>
    </xf>
    <xf numFmtId="164" fontId="52" fillId="25" borderId="47" xfId="0" applyNumberFormat="1" applyFont="1" applyFill="1" applyBorder="1" applyAlignment="1" applyProtection="1">
      <alignment horizontal="center" vertical="center"/>
    </xf>
    <xf numFmtId="0" fontId="38" fillId="8" borderId="32" xfId="0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 applyProtection="1">
      <alignment horizontal="center" vertical="center" wrapText="1"/>
    </xf>
    <xf numFmtId="0" fontId="38" fillId="19" borderId="12" xfId="0" applyFont="1" applyFill="1" applyBorder="1" applyAlignment="1" applyProtection="1">
      <alignment horizontal="center" vertical="center" wrapText="1"/>
    </xf>
    <xf numFmtId="0" fontId="38" fillId="19" borderId="31" xfId="0" applyFont="1" applyFill="1" applyBorder="1" applyAlignment="1" applyProtection="1">
      <alignment horizontal="center" vertical="center" wrapText="1"/>
    </xf>
    <xf numFmtId="0" fontId="38" fillId="19" borderId="5" xfId="0" applyFont="1" applyFill="1" applyBorder="1" applyAlignment="1" applyProtection="1">
      <alignment horizontal="center" vertical="center" wrapText="1"/>
    </xf>
    <xf numFmtId="0" fontId="8" fillId="19" borderId="24" xfId="0" applyFont="1" applyFill="1" applyBorder="1" applyAlignment="1" applyProtection="1">
      <alignment horizontal="center" vertical="center" wrapText="1"/>
    </xf>
    <xf numFmtId="0" fontId="8" fillId="19" borderId="25" xfId="0" applyFont="1" applyFill="1" applyBorder="1" applyAlignment="1" applyProtection="1">
      <alignment horizontal="center" vertical="center" wrapText="1"/>
    </xf>
    <xf numFmtId="0" fontId="8" fillId="19" borderId="23" xfId="0" applyFont="1" applyFill="1" applyBorder="1" applyAlignment="1" applyProtection="1">
      <alignment horizontal="center" vertical="center" wrapText="1"/>
    </xf>
    <xf numFmtId="0" fontId="8" fillId="19" borderId="52" xfId="0" applyFont="1" applyFill="1" applyBorder="1" applyAlignment="1" applyProtection="1">
      <alignment horizontal="center" vertical="center" wrapText="1"/>
    </xf>
    <xf numFmtId="0" fontId="8" fillId="19" borderId="27" xfId="0" applyFont="1" applyFill="1" applyBorder="1" applyAlignment="1" applyProtection="1">
      <alignment horizontal="center" vertical="center" wrapText="1"/>
    </xf>
    <xf numFmtId="0" fontId="8" fillId="19" borderId="22" xfId="0" applyFont="1" applyFill="1" applyBorder="1" applyAlignment="1" applyProtection="1">
      <alignment horizontal="center" vertical="center" wrapText="1"/>
    </xf>
    <xf numFmtId="0" fontId="8" fillId="19" borderId="39" xfId="0" applyFont="1" applyFill="1" applyBorder="1" applyAlignment="1" applyProtection="1">
      <alignment horizontal="center" vertical="center" wrapText="1"/>
    </xf>
    <xf numFmtId="0" fontId="8" fillId="19" borderId="36" xfId="0" applyFont="1" applyFill="1" applyBorder="1" applyAlignment="1" applyProtection="1">
      <alignment horizontal="center" vertical="center" wrapText="1"/>
    </xf>
    <xf numFmtId="0" fontId="8" fillId="19" borderId="32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38" fillId="19" borderId="32" xfId="0" applyFont="1" applyFill="1" applyBorder="1" applyAlignment="1" applyProtection="1">
      <alignment horizontal="center" vertical="center" wrapText="1"/>
    </xf>
    <xf numFmtId="0" fontId="38" fillId="19" borderId="6" xfId="0" applyFont="1" applyFill="1" applyBorder="1" applyAlignment="1" applyProtection="1">
      <alignment horizontal="center" vertical="center" wrapText="1"/>
    </xf>
    <xf numFmtId="0" fontId="38" fillId="19" borderId="37" xfId="0" applyFont="1" applyFill="1" applyBorder="1" applyAlignment="1" applyProtection="1">
      <alignment horizontal="center" vertical="center"/>
    </xf>
    <xf numFmtId="0" fontId="38" fillId="19" borderId="64" xfId="0" applyFont="1" applyFill="1" applyBorder="1" applyAlignment="1" applyProtection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 applyProtection="1">
      <alignment horizontal="center" vertical="center"/>
    </xf>
    <xf numFmtId="0" fontId="17" fillId="11" borderId="16" xfId="0" applyFont="1" applyFill="1" applyBorder="1" applyAlignment="1" applyProtection="1">
      <alignment horizontal="center" vertical="center"/>
    </xf>
    <xf numFmtId="0" fontId="17" fillId="11" borderId="15" xfId="0" applyFont="1" applyFill="1" applyBorder="1" applyAlignment="1" applyProtection="1">
      <alignment horizontal="center" vertical="center"/>
    </xf>
    <xf numFmtId="0" fontId="38" fillId="19" borderId="24" xfId="0" applyFont="1" applyFill="1" applyBorder="1" applyAlignment="1" applyProtection="1">
      <alignment horizontal="center" vertical="center" wrapText="1"/>
    </xf>
    <xf numFmtId="0" fontId="38" fillId="19" borderId="23" xfId="0" applyFont="1" applyFill="1" applyBorder="1" applyAlignment="1" applyProtection="1">
      <alignment horizontal="center" vertical="center" wrapText="1"/>
    </xf>
    <xf numFmtId="0" fontId="38" fillId="19" borderId="52" xfId="0" applyFont="1" applyFill="1" applyBorder="1" applyAlignment="1" applyProtection="1">
      <alignment horizontal="center" vertical="center" wrapText="1"/>
    </xf>
    <xf numFmtId="0" fontId="38" fillId="19" borderId="22" xfId="0" applyFont="1" applyFill="1" applyBorder="1" applyAlignment="1" applyProtection="1">
      <alignment horizontal="center" vertical="center" wrapText="1"/>
    </xf>
    <xf numFmtId="0" fontId="38" fillId="8" borderId="31" xfId="0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2" fontId="38" fillId="8" borderId="32" xfId="1" applyNumberFormat="1" applyFont="1" applyFill="1" applyBorder="1" applyAlignment="1" applyProtection="1">
      <alignment horizontal="center" vertical="center" wrapText="1"/>
      <protection hidden="1"/>
    </xf>
    <xf numFmtId="2" fontId="38" fillId="8" borderId="6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0" xfId="0" applyFont="1" applyFill="1" applyBorder="1" applyAlignment="1" applyProtection="1">
      <alignment horizontal="center" vertical="center" wrapText="1"/>
    </xf>
    <xf numFmtId="0" fontId="17" fillId="11" borderId="24" xfId="0" applyFont="1" applyFill="1" applyBorder="1" applyAlignment="1" applyProtection="1">
      <alignment horizontal="center" vertical="center"/>
    </xf>
    <xf numFmtId="0" fontId="17" fillId="11" borderId="25" xfId="0" applyFont="1" applyFill="1" applyBorder="1" applyAlignment="1" applyProtection="1">
      <alignment horizontal="center" vertical="center"/>
    </xf>
    <xf numFmtId="0" fontId="17" fillId="11" borderId="23" xfId="0" applyFont="1" applyFill="1" applyBorder="1" applyAlignment="1" applyProtection="1">
      <alignment horizontal="center" vertical="center"/>
    </xf>
    <xf numFmtId="0" fontId="17" fillId="11" borderId="52" xfId="0" applyFont="1" applyFill="1" applyBorder="1" applyAlignment="1" applyProtection="1">
      <alignment horizontal="center" vertical="center"/>
    </xf>
    <xf numFmtId="0" fontId="17" fillId="11" borderId="27" xfId="0" applyFont="1" applyFill="1" applyBorder="1" applyAlignment="1" applyProtection="1">
      <alignment horizontal="center" vertical="center"/>
    </xf>
    <xf numFmtId="0" fontId="17" fillId="11" borderId="22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>
      <alignment horizontal="center" vertical="top" wrapText="1"/>
    </xf>
    <xf numFmtId="0" fontId="17" fillId="11" borderId="24" xfId="0" applyFont="1" applyFill="1" applyBorder="1" applyAlignment="1" applyProtection="1">
      <alignment horizontal="center" vertical="center" wrapText="1"/>
    </xf>
    <xf numFmtId="0" fontId="17" fillId="11" borderId="25" xfId="0" applyFont="1" applyFill="1" applyBorder="1" applyAlignment="1" applyProtection="1">
      <alignment horizontal="center" vertical="center" wrapText="1"/>
    </xf>
    <xf numFmtId="0" fontId="17" fillId="11" borderId="23" xfId="0" applyFont="1" applyFill="1" applyBorder="1" applyAlignment="1" applyProtection="1">
      <alignment horizontal="center" vertical="center" wrapText="1"/>
    </xf>
    <xf numFmtId="0" fontId="17" fillId="11" borderId="52" xfId="0" applyFont="1" applyFill="1" applyBorder="1" applyAlignment="1" applyProtection="1">
      <alignment horizontal="center" vertical="center" wrapText="1"/>
    </xf>
    <xf numFmtId="0" fontId="17" fillId="11" borderId="27" xfId="0" applyFont="1" applyFill="1" applyBorder="1" applyAlignment="1" applyProtection="1">
      <alignment horizontal="center" vertical="center" wrapText="1"/>
    </xf>
    <xf numFmtId="0" fontId="17" fillId="11" borderId="22" xfId="0" applyFont="1" applyFill="1" applyBorder="1" applyAlignment="1" applyProtection="1">
      <alignment horizontal="center" vertical="center" wrapText="1"/>
    </xf>
    <xf numFmtId="0" fontId="55" fillId="8" borderId="32" xfId="0" applyFont="1" applyFill="1" applyBorder="1" applyAlignment="1">
      <alignment horizontal="center" vertical="center" wrapText="1"/>
    </xf>
    <xf numFmtId="0" fontId="55" fillId="8" borderId="6" xfId="0" applyFont="1" applyFill="1" applyBorder="1" applyAlignment="1">
      <alignment horizontal="center" vertical="center" wrapText="1"/>
    </xf>
    <xf numFmtId="0" fontId="37" fillId="25" borderId="37" xfId="0" applyFont="1" applyFill="1" applyBorder="1" applyAlignment="1">
      <alignment horizontal="center" vertical="center" wrapText="1"/>
    </xf>
    <xf numFmtId="0" fontId="37" fillId="25" borderId="59" xfId="0" applyFont="1" applyFill="1" applyBorder="1" applyAlignment="1">
      <alignment horizontal="center" vertical="center" wrapText="1"/>
    </xf>
    <xf numFmtId="0" fontId="37" fillId="25" borderId="64" xfId="0" applyFont="1" applyFill="1" applyBorder="1" applyAlignment="1">
      <alignment horizontal="center" vertical="center" wrapText="1"/>
    </xf>
    <xf numFmtId="2" fontId="38" fillId="8" borderId="11" xfId="1" applyNumberFormat="1" applyFont="1" applyFill="1" applyBorder="1" applyAlignment="1" applyProtection="1">
      <alignment horizontal="center" vertical="center" wrapText="1"/>
      <protection hidden="1"/>
    </xf>
    <xf numFmtId="2" fontId="38" fillId="8" borderId="12" xfId="1" applyNumberFormat="1" applyFont="1" applyFill="1" applyBorder="1" applyAlignment="1" applyProtection="1">
      <alignment horizontal="center" vertical="center" wrapText="1"/>
      <protection hidden="1"/>
    </xf>
    <xf numFmtId="2" fontId="41" fillId="8" borderId="31" xfId="1" applyNumberFormat="1" applyFont="1" applyFill="1" applyBorder="1" applyAlignment="1" applyProtection="1">
      <alignment horizontal="center" vertical="center" wrapText="1"/>
      <protection hidden="1"/>
    </xf>
    <xf numFmtId="2" fontId="41" fillId="8" borderId="5" xfId="1" applyNumberFormat="1" applyFont="1" applyFill="1" applyBorder="1" applyAlignment="1" applyProtection="1">
      <alignment horizontal="center" vertical="center" wrapText="1"/>
      <protection hidden="1"/>
    </xf>
    <xf numFmtId="2" fontId="38" fillId="8" borderId="31" xfId="1" applyNumberFormat="1" applyFont="1" applyFill="1" applyBorder="1" applyAlignment="1" applyProtection="1">
      <alignment horizontal="center" vertical="center" wrapText="1"/>
      <protection hidden="1"/>
    </xf>
    <xf numFmtId="2" fontId="38" fillId="8" borderId="5" xfId="1" applyNumberFormat="1" applyFont="1" applyFill="1" applyBorder="1" applyAlignment="1" applyProtection="1">
      <alignment horizontal="center" vertical="center" wrapText="1"/>
      <protection hidden="1"/>
    </xf>
    <xf numFmtId="0" fontId="38" fillId="8" borderId="11" xfId="0" applyFont="1" applyFill="1" applyBorder="1" applyAlignment="1">
      <alignment horizontal="center" vertical="center" wrapText="1"/>
    </xf>
    <xf numFmtId="0" fontId="38" fillId="8" borderId="12" xfId="0" applyFont="1" applyFill="1" applyBorder="1" applyAlignment="1">
      <alignment horizontal="center" vertical="center" wrapText="1"/>
    </xf>
    <xf numFmtId="2" fontId="23" fillId="0" borderId="14" xfId="0" applyNumberFormat="1" applyFont="1" applyBorder="1" applyAlignment="1" applyProtection="1">
      <alignment horizontal="center" vertical="center" wrapText="1"/>
      <protection hidden="1"/>
    </xf>
    <xf numFmtId="2" fontId="3" fillId="0" borderId="16" xfId="0" applyNumberFormat="1" applyFont="1" applyBorder="1" applyAlignment="1" applyProtection="1">
      <alignment horizontal="center" vertical="center" wrapText="1"/>
      <protection hidden="1"/>
    </xf>
    <xf numFmtId="2" fontId="3" fillId="0" borderId="15" xfId="0" applyNumberFormat="1" applyFont="1" applyBorder="1" applyAlignment="1" applyProtection="1">
      <alignment horizontal="center" vertical="center" wrapText="1"/>
      <protection hidden="1"/>
    </xf>
    <xf numFmtId="2" fontId="3" fillId="21" borderId="24" xfId="0" applyNumberFormat="1" applyFont="1" applyFill="1" applyBorder="1" applyAlignment="1" applyProtection="1">
      <alignment horizontal="center"/>
      <protection hidden="1"/>
    </xf>
    <xf numFmtId="2" fontId="3" fillId="21" borderId="25" xfId="0" applyNumberFormat="1" applyFont="1" applyFill="1" applyBorder="1" applyAlignment="1" applyProtection="1">
      <alignment horizontal="center"/>
      <protection hidden="1"/>
    </xf>
    <xf numFmtId="2" fontId="3" fillId="21" borderId="23" xfId="0" applyNumberFormat="1" applyFont="1" applyFill="1" applyBorder="1" applyAlignment="1" applyProtection="1">
      <alignment horizontal="center"/>
      <protection hidden="1"/>
    </xf>
    <xf numFmtId="2" fontId="3" fillId="21" borderId="20" xfId="0" applyNumberFormat="1" applyFont="1" applyFill="1" applyBorder="1" applyAlignment="1" applyProtection="1">
      <alignment horizontal="center"/>
      <protection hidden="1"/>
    </xf>
    <xf numFmtId="2" fontId="3" fillId="21" borderId="0" xfId="0" applyNumberFormat="1" applyFont="1" applyFill="1" applyBorder="1" applyAlignment="1" applyProtection="1">
      <alignment horizontal="center"/>
      <protection hidden="1"/>
    </xf>
    <xf numFmtId="2" fontId="3" fillId="21" borderId="28" xfId="0" applyNumberFormat="1" applyFont="1" applyFill="1" applyBorder="1" applyAlignment="1" applyProtection="1">
      <alignment horizontal="center"/>
      <protection hidden="1"/>
    </xf>
    <xf numFmtId="2" fontId="3" fillId="21" borderId="52" xfId="0" applyNumberFormat="1" applyFont="1" applyFill="1" applyBorder="1" applyAlignment="1" applyProtection="1">
      <alignment horizontal="center"/>
      <protection hidden="1"/>
    </xf>
    <xf numFmtId="2" fontId="3" fillId="21" borderId="27" xfId="0" applyNumberFormat="1" applyFont="1" applyFill="1" applyBorder="1" applyAlignment="1" applyProtection="1">
      <alignment horizontal="center"/>
      <protection hidden="1"/>
    </xf>
    <xf numFmtId="2" fontId="3" fillId="21" borderId="22" xfId="0" applyNumberFormat="1" applyFont="1" applyFill="1" applyBorder="1" applyAlignment="1" applyProtection="1">
      <alignment horizontal="center"/>
      <protection hidden="1"/>
    </xf>
    <xf numFmtId="0" fontId="23" fillId="6" borderId="7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 applyProtection="1">
      <alignment horizontal="center" vertical="center"/>
    </xf>
    <xf numFmtId="0" fontId="7" fillId="6" borderId="63" xfId="0" applyFont="1" applyFill="1" applyBorder="1" applyAlignment="1" applyProtection="1">
      <alignment horizontal="center" vertical="center" wrapText="1"/>
    </xf>
    <xf numFmtId="0" fontId="7" fillId="6" borderId="46" xfId="0" applyFont="1" applyFill="1" applyBorder="1" applyAlignment="1" applyProtection="1">
      <alignment horizontal="center" vertical="center" wrapText="1"/>
    </xf>
  </cellXfs>
  <cellStyles count="9">
    <cellStyle name="Bueno" xfId="1" builtinId="26"/>
    <cellStyle name="Estilo 1" xfId="2" xr:uid="{00000000-0005-0000-0000-000001000000}"/>
    <cellStyle name="Estilo 2" xfId="3" xr:uid="{00000000-0005-0000-0000-000002000000}"/>
    <cellStyle name="Estilo 3" xfId="4" xr:uid="{00000000-0005-0000-0000-000003000000}"/>
    <cellStyle name="Estilo 4" xfId="5" xr:uid="{00000000-0005-0000-0000-000004000000}"/>
    <cellStyle name="Estilo 5" xfId="6" xr:uid="{00000000-0005-0000-0000-000005000000}"/>
    <cellStyle name="Estilo 6" xfId="8" xr:uid="{00000000-0005-0000-0000-000006000000}"/>
    <cellStyle name="Normal" xfId="0" builtinId="0"/>
    <cellStyle name="Porcentaje" xfId="7" builtinId="5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DDEBF7"/>
      <color rgb="FF9BC2E6"/>
      <color rgb="FFFCE4D6"/>
      <color rgb="FFC6E0B4"/>
      <color rgb="FFD9D9D9"/>
      <color rgb="FFFFC000"/>
      <color rgb="FF1F4E78"/>
      <color rgb="FFF8F8F8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'!$H$80:$H$82</c:f>
              <c:numCache>
                <c:formatCode>0.00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cat>
          <c:val>
            <c:numRef>
              <c:f>'1 g % '!$H$80:$H$82</c:f>
              <c:numCache>
                <c:formatCode>0.00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C-4876-9EB4-E32BA131E7E3}"/>
            </c:ext>
          </c:extLst>
        </c:ser>
        <c:ser>
          <c:idx val="1"/>
          <c:order val="1"/>
          <c:tx>
            <c:strRef>
              <c:f>'1 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'1 g % '!$I$80:$I$82</c:f>
              <c:numCache>
                <c:formatCode>0.00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C-4876-9EB4-E32BA131E7E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7491840"/>
        <c:axId val="187493760"/>
      </c:lineChart>
      <c:catAx>
        <c:axId val="18749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493760"/>
        <c:crosses val="autoZero"/>
        <c:auto val="1"/>
        <c:lblAlgn val="ctr"/>
        <c:lblOffset val="100"/>
        <c:tickMarkSkip val="1"/>
        <c:noMultiLvlLbl val="0"/>
      </c:catAx>
      <c:valAx>
        <c:axId val="1874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49184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%'!$A$134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%'!$F$134:$F$136</c:f>
              <c:numCache>
                <c:formatCode>General</c:formatCode>
                <c:ptCount val="3"/>
                <c:pt idx="0">
                  <c:v>32.299999999999997</c:v>
                </c:pt>
                <c:pt idx="1">
                  <c:v>50.6</c:v>
                </c:pt>
                <c:pt idx="2">
                  <c:v>68.599999999999994</c:v>
                </c:pt>
              </c:numCache>
            </c:numRef>
          </c:xVal>
          <c:yVal>
            <c:numRef>
              <c:f>'DATOS %'!$H$134:$H$136</c:f>
              <c:numCache>
                <c:formatCode>General</c:formatCode>
                <c:ptCount val="3"/>
                <c:pt idx="0">
                  <c:v>-2.2999999999999998</c:v>
                </c:pt>
                <c:pt idx="1">
                  <c:v>-0.6</c:v>
                </c:pt>
                <c:pt idx="2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E9-4C75-BE60-27A91AA27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89824"/>
        <c:axId val="189403904"/>
      </c:scatterChart>
      <c:valAx>
        <c:axId val="1893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403904"/>
        <c:crosses val="autoZero"/>
        <c:crossBetween val="midCat"/>
      </c:valAx>
      <c:valAx>
        <c:axId val="18940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38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%'!$A$137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6441550862467911"/>
                  <c:y val="-0.55359730033745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%'!$F$137:$F$139</c:f>
              <c:numCache>
                <c:formatCode>General</c:formatCode>
                <c:ptCount val="3"/>
                <c:pt idx="0" formatCode="0.0">
                  <c:v>397.74599999999998</c:v>
                </c:pt>
                <c:pt idx="1">
                  <c:v>752.61900000000003</c:v>
                </c:pt>
                <c:pt idx="2">
                  <c:v>1098.8340000000001</c:v>
                </c:pt>
              </c:numCache>
            </c:numRef>
          </c:xVal>
          <c:yVal>
            <c:numRef>
              <c:f>'DATOS %'!$H$137:$H$139</c:f>
              <c:numCache>
                <c:formatCode>0.000</c:formatCode>
                <c:ptCount val="3"/>
                <c:pt idx="0" formatCode="0.00">
                  <c:v>2.33</c:v>
                </c:pt>
                <c:pt idx="1">
                  <c:v>0.99099999999999999</c:v>
                </c:pt>
                <c:pt idx="2" formatCode="0.00">
                  <c:v>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67-4594-AAE3-A4A410788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38208"/>
        <c:axId val="189452288"/>
      </c:scatterChart>
      <c:valAx>
        <c:axId val="18943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452288"/>
        <c:crosses val="autoZero"/>
        <c:crossBetween val="midCat"/>
      </c:valAx>
      <c:valAx>
        <c:axId val="18945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43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%'!$A$141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%'!$F$141:$F$143</c:f>
              <c:numCache>
                <c:formatCode>General</c:formatCode>
                <c:ptCount val="3"/>
                <c:pt idx="0">
                  <c:v>15.2</c:v>
                </c:pt>
                <c:pt idx="1">
                  <c:v>24.8</c:v>
                </c:pt>
                <c:pt idx="2" formatCode="0.0">
                  <c:v>29.8</c:v>
                </c:pt>
              </c:numCache>
            </c:numRef>
          </c:xVal>
          <c:yVal>
            <c:numRef>
              <c:f>'DATOS %'!$H$141:$H$143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83-4177-AB49-FE8196CB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90688"/>
        <c:axId val="189492224"/>
      </c:scatterChart>
      <c:valAx>
        <c:axId val="18949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492224"/>
        <c:crosses val="autoZero"/>
        <c:crossBetween val="midCat"/>
      </c:valAx>
      <c:valAx>
        <c:axId val="18949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49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%'!$A$144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%'!$F$144:$F$146</c:f>
              <c:numCache>
                <c:formatCode>General</c:formatCode>
                <c:ptCount val="3"/>
                <c:pt idx="0">
                  <c:v>32.9</c:v>
                </c:pt>
                <c:pt idx="1">
                  <c:v>51.2</c:v>
                </c:pt>
                <c:pt idx="2">
                  <c:v>77.599999999999994</c:v>
                </c:pt>
              </c:numCache>
            </c:numRef>
          </c:xVal>
          <c:yVal>
            <c:numRef>
              <c:f>'DATOS %'!$H$144:$H$146</c:f>
              <c:numCache>
                <c:formatCode>General</c:formatCode>
                <c:ptCount val="3"/>
                <c:pt idx="0" formatCode="0.0">
                  <c:v>-3</c:v>
                </c:pt>
                <c:pt idx="1">
                  <c:v>-1.2</c:v>
                </c:pt>
                <c:pt idx="2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6F-49E8-984D-0A10A3F3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12800"/>
        <c:axId val="189614336"/>
      </c:scatterChart>
      <c:valAx>
        <c:axId val="18961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614336"/>
        <c:crosses val="autoZero"/>
        <c:crossBetween val="midCat"/>
      </c:valAx>
      <c:valAx>
        <c:axId val="18961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61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0.23546721744136218"/>
          <c:y val="3.538436433002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8465998016790691"/>
          <c:y val="4.3018332204761214E-2"/>
          <c:w val="0.72290334957620117"/>
          <c:h val="0.59892027100531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'DATOS %'!$A$147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582103991216056"/>
                  <c:y val="0.581780622443193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%'!$F$147:$F$149</c:f>
              <c:numCache>
                <c:formatCode>#,##0.000</c:formatCode>
                <c:ptCount val="3"/>
                <c:pt idx="0">
                  <c:v>598.11699999999996</c:v>
                </c:pt>
                <c:pt idx="1">
                  <c:v>752.81600000000003</c:v>
                </c:pt>
                <c:pt idx="2">
                  <c:v>848.553</c:v>
                </c:pt>
              </c:numCache>
            </c:numRef>
          </c:xVal>
          <c:yVal>
            <c:numRef>
              <c:f>'DATOS %'!$H$147:$H$149</c:f>
              <c:numCache>
                <c:formatCode>General</c:formatCode>
                <c:ptCount val="3"/>
                <c:pt idx="0">
                  <c:v>1.4450000000000001</c:v>
                </c:pt>
                <c:pt idx="1">
                  <c:v>0.95399999999999996</c:v>
                </c:pt>
                <c:pt idx="2">
                  <c:v>0.70399999999999996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66-4163-8234-D6F3999C0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65280"/>
        <c:axId val="189666816"/>
      </c:scatterChart>
      <c:valAx>
        <c:axId val="18966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666816"/>
        <c:crosses val="autoZero"/>
        <c:crossBetween val="midCat"/>
      </c:valAx>
      <c:valAx>
        <c:axId val="18966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66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%'!$A$157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%'!$F$157:$F$159</c:f>
              <c:numCache>
                <c:formatCode>0.000</c:formatCode>
                <c:ptCount val="3"/>
                <c:pt idx="0">
                  <c:v>598.08199999999999</c:v>
                </c:pt>
                <c:pt idx="1">
                  <c:v>752.79499999999996</c:v>
                </c:pt>
                <c:pt idx="2">
                  <c:v>848.6</c:v>
                </c:pt>
              </c:numCache>
            </c:numRef>
          </c:xVal>
          <c:yVal>
            <c:numRef>
              <c:f>'DATOS %'!$H$157:$H$159</c:f>
              <c:numCache>
                <c:formatCode>0.000</c:formatCode>
                <c:ptCount val="3"/>
                <c:pt idx="0" formatCode="General">
                  <c:v>1.4830000000000001</c:v>
                </c:pt>
                <c:pt idx="1">
                  <c:v>0.97299999999999998</c:v>
                </c:pt>
                <c:pt idx="2" formatCode="General">
                  <c:v>0.65600000000000003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C9-4DF2-BD4A-60C72AD2D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09312"/>
        <c:axId val="189731584"/>
      </c:scatterChart>
      <c:valAx>
        <c:axId val="18970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31584"/>
        <c:crosses val="autoZero"/>
        <c:crossBetween val="midCat"/>
      </c:valAx>
      <c:valAx>
        <c:axId val="1897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0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%'!$A$154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%'!$F$154:$F$156</c:f>
              <c:numCache>
                <c:formatCode>General</c:formatCode>
                <c:ptCount val="3"/>
                <c:pt idx="0">
                  <c:v>33.200000000000003</c:v>
                </c:pt>
                <c:pt idx="1">
                  <c:v>51.4</c:v>
                </c:pt>
                <c:pt idx="2">
                  <c:v>77.599999999999994</c:v>
                </c:pt>
              </c:numCache>
            </c:numRef>
          </c:xVal>
          <c:yVal>
            <c:numRef>
              <c:f>'DATOS %'!$H$154:$H$156</c:f>
              <c:numCache>
                <c:formatCode>General</c:formatCode>
                <c:ptCount val="3"/>
                <c:pt idx="0">
                  <c:v>-3.2</c:v>
                </c:pt>
                <c:pt idx="1">
                  <c:v>-1.5</c:v>
                </c:pt>
                <c:pt idx="2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4C-4D6E-9DCB-C03EC85CC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74080"/>
        <c:axId val="189784064"/>
      </c:scatterChart>
      <c:valAx>
        <c:axId val="18977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84064"/>
        <c:crosses val="autoZero"/>
        <c:crossBetween val="midCat"/>
      </c:valAx>
      <c:valAx>
        <c:axId val="1897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7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%'!$A$151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4409899025657283E-2"/>
                  <c:y val="-0.516623505420759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%'!$F$151:$F$153</c:f>
              <c:numCache>
                <c:formatCode>0.0</c:formatCode>
                <c:ptCount val="3"/>
                <c:pt idx="0" formatCode="General">
                  <c:v>15.1</c:v>
                </c:pt>
                <c:pt idx="1">
                  <c:v>24.8</c:v>
                </c:pt>
                <c:pt idx="2">
                  <c:v>29.7</c:v>
                </c:pt>
              </c:numCache>
            </c:numRef>
          </c:xVal>
          <c:yVal>
            <c:numRef>
              <c:f>'DATOS %'!$H$151:$H$153</c:f>
              <c:numCache>
                <c:formatCode>0.0</c:formatCode>
                <c:ptCount val="3"/>
                <c:pt idx="0">
                  <c:v>0.2</c:v>
                </c:pt>
                <c:pt idx="1">
                  <c:v>-0.1</c:v>
                </c:pt>
                <c:pt idx="2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93-48F7-89B4-B1EDC50DD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22848"/>
        <c:axId val="189824384"/>
      </c:scatterChart>
      <c:valAx>
        <c:axId val="18982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824384"/>
        <c:crosses val="autoZero"/>
        <c:crossBetween val="midCat"/>
      </c:valAx>
      <c:valAx>
        <c:axId val="1898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82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'!$H$80:$H$82</c:f>
              <c:numCache>
                <c:formatCode>0.00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cat>
          <c:val>
            <c:numRef>
              <c:f>'1 g % '!$H$80:$H$82</c:f>
              <c:numCache>
                <c:formatCode>0.00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2-42A7-8213-E587D08BF638}"/>
            </c:ext>
          </c:extLst>
        </c:ser>
        <c:ser>
          <c:idx val="1"/>
          <c:order val="1"/>
          <c:tx>
            <c:strRef>
              <c:f>'1 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'1 g % '!$I$80:$I$82</c:f>
              <c:numCache>
                <c:formatCode>0.00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2-42A7-8213-E587D08BF638}"/>
            </c:ext>
          </c:extLst>
        </c:ser>
        <c:ser>
          <c:idx val="2"/>
          <c:order val="2"/>
          <c:tx>
            <c:strRef>
              <c:f>'1 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'1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'1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'1 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12-42A7-8213-E587D08BF63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85856"/>
        <c:axId val="190596224"/>
      </c:lineChart>
      <c:catAx>
        <c:axId val="19058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596224"/>
        <c:crosses val="autoZero"/>
        <c:auto val="1"/>
        <c:lblAlgn val="ctr"/>
        <c:lblOffset val="100"/>
        <c:tickMarkSkip val="1"/>
        <c:noMultiLvlLbl val="0"/>
      </c:catAx>
      <c:valAx>
        <c:axId val="1905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58585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F0-49CE-B966-BD4224E43B3C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F0-49CE-B966-BD4224E43B3C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F0-49CE-B966-BD4224E43B3C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F0-49CE-B966-BD4224E43B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('1 g % '!$G$59,'1 g % '!$G$62,'1 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F0-49CE-B966-BD4224E43B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0622336"/>
        <c:axId val="190641664"/>
      </c:barChart>
      <c:catAx>
        <c:axId val="1906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41664"/>
        <c:crosses val="autoZero"/>
        <c:auto val="1"/>
        <c:lblAlgn val="ctr"/>
        <c:lblOffset val="100"/>
        <c:noMultiLvlLbl val="0"/>
      </c:catAx>
      <c:valAx>
        <c:axId val="190641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62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'RT03-F23 %'!$G$58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84-4EA1-9F9C-3A2810877F43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84-4EA1-9F9C-3A2810877F43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84-4EA1-9F9C-3A2810877F43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84-4EA1-9F9C-3A2810877F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('RT03-F23 %'!$A$59,'RT03-F23 %'!$A$62,'RT03-F23 %'!$A$66:$A$67)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('RT03-F23 %'!$G$59,'RT03-F23 %'!$G$62,'RT03-F23 %'!$G$66:$G$67)</c:f>
              <c:numCache>
                <c:formatCode>0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84-4EA1-9F9C-3A2810877F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8204160"/>
        <c:axId val="188211200"/>
      </c:barChart>
      <c:catAx>
        <c:axId val="188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211200"/>
        <c:crosses val="autoZero"/>
        <c:auto val="1"/>
        <c:lblAlgn val="ctr"/>
        <c:lblOffset val="100"/>
        <c:noMultiLvlLbl val="0"/>
      </c:catAx>
      <c:valAx>
        <c:axId val="188211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8820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g % 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 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'2 g %  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C-44E1-9448-18C5D6A352AF}"/>
            </c:ext>
          </c:extLst>
        </c:ser>
        <c:ser>
          <c:idx val="1"/>
          <c:order val="1"/>
          <c:tx>
            <c:strRef>
              <c:f>'2 g % 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 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 g %  '!$I$80:$I$82</c:f>
              <c:numCache>
                <c:formatCode>General</c:formatCode>
                <c:ptCount val="3"/>
                <c:pt idx="0">
                  <c:v>-0.12</c:v>
                </c:pt>
                <c:pt idx="1">
                  <c:v>-0.12</c:v>
                </c:pt>
                <c:pt idx="2">
                  <c:v>-0.12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C-44E1-9448-18C5D6A352AF}"/>
            </c:ext>
          </c:extLst>
        </c:ser>
        <c:ser>
          <c:idx val="2"/>
          <c:order val="2"/>
          <c:tx>
            <c:strRef>
              <c:f>'2 g % 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 g % 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 g % 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 g % 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C-44E1-9448-18C5D6A352A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1406464"/>
        <c:axId val="191408384"/>
      </c:lineChart>
      <c:catAx>
        <c:axId val="19140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408384"/>
        <c:crosses val="autoZero"/>
        <c:auto val="1"/>
        <c:lblAlgn val="ctr"/>
        <c:lblOffset val="100"/>
        <c:tickMarkSkip val="1"/>
        <c:noMultiLvlLbl val="0"/>
      </c:catAx>
      <c:valAx>
        <c:axId val="19140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40646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g % 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 g %  '!$G$59,'2 g %  '!$G$62,'2 g % 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1320064"/>
        <c:axId val="191322752"/>
      </c:barChart>
      <c:catAx>
        <c:axId val="1913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322752"/>
        <c:crosses val="autoZero"/>
        <c:auto val="1"/>
        <c:lblAlgn val="ctr"/>
        <c:lblOffset val="100"/>
        <c:noMultiLvlLbl val="0"/>
      </c:catAx>
      <c:valAx>
        <c:axId val="1913227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132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g % +'!$H$79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D-4984-BAFB-56026B3318BE}"/>
            </c:ext>
          </c:extLst>
        </c:ser>
        <c:ser>
          <c:idx val="1"/>
          <c:order val="1"/>
          <c:tx>
            <c:strRef>
              <c:f>'2 g % +'!$I$79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 g % +'!$I$80:$I$82</c:f>
              <c:numCache>
                <c:formatCode>General</c:formatCode>
                <c:ptCount val="3"/>
                <c:pt idx="0">
                  <c:v>-0.12</c:v>
                </c:pt>
                <c:pt idx="1">
                  <c:v>-0.12</c:v>
                </c:pt>
                <c:pt idx="2">
                  <c:v>-0.12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D-4984-BAFB-56026B3318BE}"/>
            </c:ext>
          </c:extLst>
        </c:ser>
        <c:ser>
          <c:idx val="2"/>
          <c:order val="2"/>
          <c:tx>
            <c:strRef>
              <c:f>'2 g % +'!$F$79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 g % +'!$F$80:$F$82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4D-4984-BAFB-56026B3318B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3751936"/>
        <c:axId val="133753856"/>
      </c:lineChart>
      <c:catAx>
        <c:axId val="13375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753856"/>
        <c:crosses val="autoZero"/>
        <c:auto val="1"/>
        <c:lblAlgn val="ctr"/>
        <c:lblOffset val="100"/>
        <c:tickMarkSkip val="1"/>
        <c:noMultiLvlLbl val="0"/>
      </c:catAx>
      <c:valAx>
        <c:axId val="13375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75193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g % +'!$G$58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 g % +'!$G$59,'2 g % +'!$G$62,'2 g % +'!$G$66:$G$67)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025600"/>
        <c:axId val="134028288"/>
      </c:barChart>
      <c:catAx>
        <c:axId val="134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02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 g %'!$H$79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'5 g %'!$H$80:$H$82</c:f>
              <c:numCache>
                <c:formatCode>General</c:formatCode>
                <c:ptCount val="3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</c:numCache>
            </c:numRef>
          </c:cat>
          <c:val>
            <c:numRef>
              <c:f>'5 g %'!$H$80:$H$82</c:f>
              <c:numCache>
                <c:formatCode>General</c:formatCode>
                <c:ptCount val="3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6-4F89-96FC-A9297B96E23F}"/>
            </c:ext>
          </c:extLst>
        </c:ser>
        <c:ser>
          <c:idx val="1"/>
          <c:order val="1"/>
          <c:tx>
            <c:strRef>
              <c:f>'5 g %'!$I$79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'5 g %'!$F$81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'5 g %'!$I$80:$I$82</c:f>
              <c:numCache>
                <c:formatCode>General</c:formatCode>
                <c:ptCount val="3"/>
                <c:pt idx="0">
                  <c:v>-0.16</c:v>
                </c:pt>
                <c:pt idx="1">
                  <c:v>-0.16</c:v>
                </c:pt>
                <c:pt idx="2">
                  <c:v>-0.16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6-4F89-96FC-A9297B96E23F}"/>
            </c:ext>
          </c:extLst>
        </c:ser>
        <c:ser>
          <c:idx val="2"/>
          <c:order val="2"/>
          <c:tx>
            <c:strRef>
              <c:f>'5 g %'!$F$79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'5 g %'!$G$81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'5 g %'!$G$81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'5 g %'!$F$80:$F$82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96-4F89-96FC-A9297B96E23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797312"/>
        <c:axId val="190799232"/>
      </c:lineChart>
      <c:catAx>
        <c:axId val="19079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99232"/>
        <c:crosses val="autoZero"/>
        <c:auto val="1"/>
        <c:lblAlgn val="ctr"/>
        <c:lblOffset val="100"/>
        <c:tickMarkSkip val="1"/>
        <c:noMultiLvlLbl val="0"/>
      </c:catAx>
      <c:valAx>
        <c:axId val="19079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9731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g %'!$G$58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('5 g %'!$G$59,'5 g %'!$G$62,'5 g %'!$G$66:$G$67)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0850176"/>
        <c:axId val="190853120"/>
      </c:barChart>
      <c:catAx>
        <c:axId val="1908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853120"/>
        <c:crosses val="autoZero"/>
        <c:auto val="1"/>
        <c:lblAlgn val="ctr"/>
        <c:lblOffset val="100"/>
        <c:noMultiLvlLbl val="0"/>
      </c:catAx>
      <c:valAx>
        <c:axId val="190853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85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 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'10 g % '!$H$80:$H$82</c:f>
              <c:numCache>
                <c:formatCode>0.00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</c:numCache>
            </c:numRef>
          </c:cat>
          <c:val>
            <c:numRef>
              <c:f>'10 g % '!$H$80:$H$82</c:f>
              <c:numCache>
                <c:formatCode>0.00</c:formatCode>
                <c:ptCount val="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7-4E2F-A22A-F0D35E329295}"/>
            </c:ext>
          </c:extLst>
        </c:ser>
        <c:ser>
          <c:idx val="1"/>
          <c:order val="1"/>
          <c:tx>
            <c:strRef>
              <c:f>'10 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'10 g % 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'10 g % '!$I$80:$I$82</c:f>
              <c:numCache>
                <c:formatCode>0.00</c:formatCode>
                <c:ptCount val="3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7-4E2F-A22A-F0D35E329295}"/>
            </c:ext>
          </c:extLst>
        </c:ser>
        <c:ser>
          <c:idx val="2"/>
          <c:order val="2"/>
          <c:tx>
            <c:strRef>
              <c:f>'10 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'10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'10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'10 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7-4E2F-A22A-F0D35E3292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3394944"/>
        <c:axId val="193405312"/>
      </c:lineChart>
      <c:catAx>
        <c:axId val="19339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405312"/>
        <c:crosses val="autoZero"/>
        <c:auto val="1"/>
        <c:lblAlgn val="ctr"/>
        <c:lblOffset val="100"/>
        <c:tickMarkSkip val="1"/>
        <c:noMultiLvlLbl val="0"/>
      </c:catAx>
      <c:valAx>
        <c:axId val="1934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39494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 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('10 g % '!$G$59,'10 g % '!$G$62,'10 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3423232"/>
        <c:axId val="193426176"/>
      </c:barChart>
      <c:catAx>
        <c:axId val="1934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426176"/>
        <c:crosses val="autoZero"/>
        <c:auto val="1"/>
        <c:lblAlgn val="ctr"/>
        <c:lblOffset val="100"/>
        <c:noMultiLvlLbl val="0"/>
      </c:catAx>
      <c:valAx>
        <c:axId val="193426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342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 g % 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 g %  '!$H$80:$H$82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cat>
          <c:val>
            <c:numRef>
              <c:f>'20 g %  '!$H$80:$H$82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7B-4427-A11C-7BFC18F48C6D}"/>
            </c:ext>
          </c:extLst>
        </c:ser>
        <c:ser>
          <c:idx val="1"/>
          <c:order val="1"/>
          <c:tx>
            <c:strRef>
              <c:f>'20 g % 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 g %  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'20 g %  '!$I$80:$I$82</c:f>
              <c:numCache>
                <c:formatCode>General</c:formatCode>
                <c:ptCount val="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B-4427-A11C-7BFC18F48C6D}"/>
            </c:ext>
          </c:extLst>
        </c:ser>
        <c:ser>
          <c:idx val="2"/>
          <c:order val="2"/>
          <c:tx>
            <c:strRef>
              <c:f>'20 g % 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'20 g % 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'20 g % 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'20 g % 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7B-4427-A11C-7BFC18F48C6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4271872"/>
        <c:axId val="194282240"/>
      </c:lineChart>
      <c:catAx>
        <c:axId val="19427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82240"/>
        <c:crosses val="autoZero"/>
        <c:auto val="1"/>
        <c:lblAlgn val="ctr"/>
        <c:lblOffset val="100"/>
        <c:tickMarkSkip val="1"/>
        <c:noMultiLvlLbl val="0"/>
      </c:catAx>
      <c:valAx>
        <c:axId val="19428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27187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 g % 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('20 g %  '!$G$59,'20 g %  '!$G$62,'20 g % 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3990656"/>
        <c:axId val="193992192"/>
      </c:barChart>
      <c:catAx>
        <c:axId val="1939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992192"/>
        <c:crosses val="autoZero"/>
        <c:auto val="1"/>
        <c:lblAlgn val="ctr"/>
        <c:lblOffset val="100"/>
        <c:noMultiLvlLbl val="0"/>
      </c:catAx>
      <c:valAx>
        <c:axId val="193992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399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%'!$A$111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%'!$F$111:$F$113</c:f>
              <c:numCache>
                <c:formatCode>General</c:formatCode>
                <c:ptCount val="3"/>
                <c:pt idx="0">
                  <c:v>15.3</c:v>
                </c:pt>
                <c:pt idx="1">
                  <c:v>24.7</c:v>
                </c:pt>
                <c:pt idx="2" formatCode="0.0">
                  <c:v>29.5</c:v>
                </c:pt>
              </c:numCache>
            </c:numRef>
          </c:xVal>
          <c:yVal>
            <c:numRef>
              <c:f>'DATOS %'!$H$111:$H$113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D6-4133-98EC-4E1FF73C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32896"/>
        <c:axId val="186034432"/>
      </c:scatterChart>
      <c:valAx>
        <c:axId val="18603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034432"/>
        <c:crosses val="autoZero"/>
        <c:crossBetween val="midCat"/>
      </c:valAx>
      <c:valAx>
        <c:axId val="18603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032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 g % +'!$H$79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 g % +'!$H$80:$H$82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cat>
          <c:val>
            <c:numRef>
              <c:f>'20 g % +'!$H$80:$H$82</c:f>
              <c:numCache>
                <c:formatCode>General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A-4736-8390-8F6D7EFE6986}"/>
            </c:ext>
          </c:extLst>
        </c:ser>
        <c:ser>
          <c:idx val="1"/>
          <c:order val="1"/>
          <c:tx>
            <c:strRef>
              <c:f>'20 g % +'!$I$79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'20 g % +'!$I$80:$I$82</c:f>
              <c:numCache>
                <c:formatCode>General</c:formatCode>
                <c:ptCount val="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A-4736-8390-8F6D7EFE6986}"/>
            </c:ext>
          </c:extLst>
        </c:ser>
        <c:ser>
          <c:idx val="2"/>
          <c:order val="2"/>
          <c:tx>
            <c:strRef>
              <c:f>'20 g % +'!$F$79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'20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'20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'20 g % +'!$F$80:$F$82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EA-4736-8390-8F6D7EFE698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4747776"/>
        <c:axId val="194766336"/>
      </c:lineChart>
      <c:catAx>
        <c:axId val="19474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766336"/>
        <c:crosses val="autoZero"/>
        <c:auto val="1"/>
        <c:lblAlgn val="ctr"/>
        <c:lblOffset val="100"/>
        <c:tickMarkSkip val="1"/>
        <c:noMultiLvlLbl val="0"/>
      </c:catAx>
      <c:valAx>
        <c:axId val="1947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74777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 g % +'!$G$58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('20 g % +'!$G$59,'20 g % +'!$G$62,'20 g % +'!$G$66:$G$67)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5066880"/>
        <c:axId val="195069824"/>
      </c:barChart>
      <c:catAx>
        <c:axId val="1950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069824"/>
        <c:crosses val="autoZero"/>
        <c:auto val="1"/>
        <c:lblAlgn val="ctr"/>
        <c:lblOffset val="100"/>
        <c:noMultiLvlLbl val="0"/>
      </c:catAx>
      <c:valAx>
        <c:axId val="1950698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506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'50 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'!$H$80:$H$82</c:f>
              <c:numCache>
                <c:formatCode>0.00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cat>
          <c:val>
            <c:numRef>
              <c:f>'50 g % '!$H$80:$H$82</c:f>
              <c:numCache>
                <c:formatCode>General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BB-47BA-926D-A18D882C0BC6}"/>
            </c:ext>
          </c:extLst>
        </c:ser>
        <c:ser>
          <c:idx val="1"/>
          <c:order val="1"/>
          <c:tx>
            <c:strRef>
              <c:f>'50 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'50 g % '!$I$80:$I$82</c:f>
              <c:numCache>
                <c:formatCode>General</c:formatCode>
                <c:ptCount val="3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B-47BA-926D-A18D882C0BC6}"/>
            </c:ext>
          </c:extLst>
        </c:ser>
        <c:ser>
          <c:idx val="2"/>
          <c:order val="2"/>
          <c:tx>
            <c:strRef>
              <c:f>'50 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'50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'50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'50 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BB-47BA-926D-A18D882C0B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5891584"/>
        <c:axId val="195893504"/>
      </c:lineChart>
      <c:catAx>
        <c:axId val="19589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893504"/>
        <c:crosses val="autoZero"/>
        <c:auto val="1"/>
        <c:lblAlgn val="ctr"/>
        <c:lblOffset val="100"/>
        <c:tickMarkSkip val="1"/>
        <c:noMultiLvlLbl val="0"/>
      </c:catAx>
      <c:valAx>
        <c:axId val="195893504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891584"/>
        <c:crosses val="autoZero"/>
        <c:crossBetween val="between"/>
        <c:majorUnit val="0.1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 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('50 g % '!$G$59,'50 g % '!$G$62,'50 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5948544"/>
        <c:axId val="195951232"/>
      </c:barChart>
      <c:catAx>
        <c:axId val="1959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951232"/>
        <c:crosses val="autoZero"/>
        <c:auto val="1"/>
        <c:lblAlgn val="ctr"/>
        <c:lblOffset val="100"/>
        <c:noMultiLvlLbl val="0"/>
      </c:catAx>
      <c:valAx>
        <c:axId val="195951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594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'100 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'!$H$80:$H$82</c:f>
              <c:numCache>
                <c:formatCode>0.00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cat>
          <c:val>
            <c:numRef>
              <c:f>'100 g % '!$H$80:$H$82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8-44AE-9540-9BD27E75382A}"/>
            </c:ext>
          </c:extLst>
        </c:ser>
        <c:ser>
          <c:idx val="1"/>
          <c:order val="1"/>
          <c:tx>
            <c:strRef>
              <c:f>'100 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 g % 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'100 g % '!$I$80:$I$82</c:f>
              <c:numCache>
                <c:formatCode>General</c:formatCode>
                <c:ptCount val="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8-44AE-9540-9BD27E75382A}"/>
            </c:ext>
          </c:extLst>
        </c:ser>
        <c:ser>
          <c:idx val="2"/>
          <c:order val="2"/>
          <c:tx>
            <c:strRef>
              <c:f>'100 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'100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'100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'100 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8-44AE-9540-9BD27E75382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6711552"/>
        <c:axId val="196713472"/>
      </c:lineChart>
      <c:catAx>
        <c:axId val="19671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713472"/>
        <c:crosses val="autoZero"/>
        <c:auto val="1"/>
        <c:lblAlgn val="ctr"/>
        <c:lblOffset val="100"/>
        <c:tickMarkSkip val="1"/>
        <c:noMultiLvlLbl val="0"/>
      </c:catAx>
      <c:valAx>
        <c:axId val="196713472"/>
        <c:scaling>
          <c:orientation val="minMax"/>
          <c:max val="0.60000000000000009"/>
          <c:min val="-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71155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 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('100 g % '!$G$59,'100 g % '!$G$62,'100 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6621056"/>
        <c:axId val="196623744"/>
      </c:barChart>
      <c:catAx>
        <c:axId val="1966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623744"/>
        <c:crosses val="autoZero"/>
        <c:auto val="1"/>
        <c:lblAlgn val="ctr"/>
        <c:lblOffset val="100"/>
        <c:noMultiLvlLbl val="0"/>
      </c:catAx>
      <c:valAx>
        <c:axId val="1966237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66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 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'200 g % '!$H$80:$H$82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9-43B8-AE9F-56E5F3DA820A}"/>
            </c:ext>
          </c:extLst>
        </c:ser>
        <c:ser>
          <c:idx val="1"/>
          <c:order val="1"/>
          <c:tx>
            <c:strRef>
              <c:f>'200 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'200 g % '!$I$80:$I$82</c:f>
              <c:numCache>
                <c:formatCode>0.0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9-43B8-AE9F-56E5F3DA820A}"/>
            </c:ext>
          </c:extLst>
        </c:ser>
        <c:ser>
          <c:idx val="2"/>
          <c:order val="2"/>
          <c:tx>
            <c:strRef>
              <c:f>'200 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'200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'200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'200 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49-43B8-AE9F-56E5F3DA82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7121920"/>
        <c:axId val="197128192"/>
      </c:lineChart>
      <c:catAx>
        <c:axId val="19712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128192"/>
        <c:crosses val="autoZero"/>
        <c:auto val="1"/>
        <c:lblAlgn val="ctr"/>
        <c:lblOffset val="100"/>
        <c:tickMarkSkip val="1"/>
        <c:noMultiLvlLbl val="0"/>
      </c:catAx>
      <c:valAx>
        <c:axId val="1971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12192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 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('200 g % '!$G$59,'200 g % '!$G$62,'200 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7436928"/>
        <c:axId val="197448064"/>
      </c:barChart>
      <c:catAx>
        <c:axId val="1974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448064"/>
        <c:crosses val="autoZero"/>
        <c:auto val="1"/>
        <c:lblAlgn val="ctr"/>
        <c:lblOffset val="100"/>
        <c:noMultiLvlLbl val="0"/>
      </c:catAx>
      <c:valAx>
        <c:axId val="1974480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743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 g % +'!$H$79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'200 g % +'!$H$80:$H$82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47-461E-961B-F19BBCF19524}"/>
            </c:ext>
          </c:extLst>
        </c:ser>
        <c:ser>
          <c:idx val="1"/>
          <c:order val="1"/>
          <c:tx>
            <c:strRef>
              <c:f>'200 g % +'!$I$79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'200 g % +'!$I$80:$I$82</c:f>
              <c:numCache>
                <c:formatCode>0.0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7-461E-961B-F19BBCF19524}"/>
            </c:ext>
          </c:extLst>
        </c:ser>
        <c:ser>
          <c:idx val="2"/>
          <c:order val="2"/>
          <c:tx>
            <c:strRef>
              <c:f>'200 g % +'!$F$79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'200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'200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'200 g % +'!$F$80:$F$82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47-461E-961B-F19BBCF195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8138496"/>
        <c:axId val="198152960"/>
      </c:lineChart>
      <c:catAx>
        <c:axId val="19813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152960"/>
        <c:crosses val="autoZero"/>
        <c:auto val="1"/>
        <c:lblAlgn val="ctr"/>
        <c:lblOffset val="100"/>
        <c:tickMarkSkip val="1"/>
        <c:noMultiLvlLbl val="0"/>
      </c:catAx>
      <c:valAx>
        <c:axId val="19815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13849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 g % +'!$G$58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('200 g % +'!$G$59,'200 g % +'!$G$62,'200 g % +'!$G$66:$G$67)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8260992"/>
        <c:axId val="198276224"/>
      </c:barChart>
      <c:catAx>
        <c:axId val="1982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276224"/>
        <c:crosses val="autoZero"/>
        <c:auto val="1"/>
        <c:lblAlgn val="ctr"/>
        <c:lblOffset val="100"/>
        <c:noMultiLvlLbl val="0"/>
      </c:catAx>
      <c:valAx>
        <c:axId val="198276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826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%'!$A$114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%'!$F$114:$F$116</c:f>
              <c:numCache>
                <c:formatCode>0.0</c:formatCode>
                <c:ptCount val="3"/>
                <c:pt idx="0" formatCode="General">
                  <c:v>33.299999999999997</c:v>
                </c:pt>
                <c:pt idx="1">
                  <c:v>51.2</c:v>
                </c:pt>
                <c:pt idx="2" formatCode="General">
                  <c:v>77.099999999999994</c:v>
                </c:pt>
              </c:numCache>
            </c:numRef>
          </c:xVal>
          <c:yVal>
            <c:numRef>
              <c:f>'DATOS %'!$H$114:$H$116</c:f>
              <c:numCache>
                <c:formatCode>0.0</c:formatCode>
                <c:ptCount val="3"/>
                <c:pt idx="0" formatCode="General">
                  <c:v>-3.3</c:v>
                </c:pt>
                <c:pt idx="1">
                  <c:v>-1.3</c:v>
                </c:pt>
                <c:pt idx="2" formatCode="General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F4-4562-97E0-1F915E700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13568"/>
        <c:axId val="165615104"/>
      </c:scatterChart>
      <c:valAx>
        <c:axId val="16561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615104"/>
        <c:crosses val="autoZero"/>
        <c:crossBetween val="midCat"/>
      </c:valAx>
      <c:valAx>
        <c:axId val="16561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61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'500 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'500 g % '!$H$80:$H$82</c:f>
              <c:numCache>
                <c:formatCode>General</c:formatCode>
                <c:ptCount val="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3-42DB-9ECB-86B11D4D0B2C}"/>
            </c:ext>
          </c:extLst>
        </c:ser>
        <c:ser>
          <c:idx val="1"/>
          <c:order val="1"/>
          <c:tx>
            <c:strRef>
              <c:f>'500 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'500 g % '!$I$80:$I$82</c:f>
              <c:numCache>
                <c:formatCode>General</c:formatCode>
                <c:ptCount val="3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3-42DB-9ECB-86B11D4D0B2C}"/>
            </c:ext>
          </c:extLst>
        </c:ser>
        <c:ser>
          <c:idx val="2"/>
          <c:order val="2"/>
          <c:tx>
            <c:strRef>
              <c:f>'500 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'500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'500 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'500 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33-42DB-9ECB-86B11D4D0B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57856"/>
        <c:axId val="10876416"/>
      </c:lineChart>
      <c:catAx>
        <c:axId val="1085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76416"/>
        <c:crosses val="autoZero"/>
        <c:auto val="1"/>
        <c:lblAlgn val="ctr"/>
        <c:lblOffset val="100"/>
        <c:tickMarkSkip val="1"/>
        <c:noMultiLvlLbl val="0"/>
      </c:catAx>
      <c:valAx>
        <c:axId val="108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57856"/>
        <c:crosses val="autoZero"/>
        <c:crossBetween val="between"/>
        <c:majorUnit val="0.5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'500 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('500 g % '!$G$59,'500 g % '!$G$62,'500 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9179264"/>
        <c:axId val="199182208"/>
      </c:barChart>
      <c:catAx>
        <c:axId val="19917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182208"/>
        <c:crosses val="autoZero"/>
        <c:auto val="1"/>
        <c:lblAlgn val="ctr"/>
        <c:lblOffset val="100"/>
        <c:noMultiLvlLbl val="0"/>
      </c:catAx>
      <c:valAx>
        <c:axId val="199182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917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kg %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'1 kg % '!$H$80:$H$82</c:f>
              <c:numCache>
                <c:formatCode>0.0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93-490A-B820-4253D765AD1B}"/>
            </c:ext>
          </c:extLst>
        </c:ser>
        <c:ser>
          <c:idx val="1"/>
          <c:order val="1"/>
          <c:tx>
            <c:strRef>
              <c:f>'1 kg %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'1 kg % '!$I$80:$I$82</c:f>
              <c:numCache>
                <c:formatCode>0.0</c:formatCode>
                <c:ptCount val="3"/>
                <c:pt idx="0">
                  <c:v>-5</c:v>
                </c:pt>
                <c:pt idx="1">
                  <c:v>-5</c:v>
                </c:pt>
                <c:pt idx="2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3-490A-B820-4253D765AD1B}"/>
            </c:ext>
          </c:extLst>
        </c:ser>
        <c:ser>
          <c:idx val="2"/>
          <c:order val="2"/>
          <c:tx>
            <c:strRef>
              <c:f>'1 kg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'1 kg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'1 kg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'1 kg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93-490A-B820-4253D765AD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840128"/>
        <c:axId val="199842048"/>
      </c:lineChart>
      <c:catAx>
        <c:axId val="19984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42048"/>
        <c:crosses val="autoZero"/>
        <c:auto val="1"/>
        <c:lblAlgn val="ctr"/>
        <c:lblOffset val="100"/>
        <c:tickMarkSkip val="1"/>
        <c:noMultiLvlLbl val="0"/>
      </c:catAx>
      <c:valAx>
        <c:axId val="1998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40128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kg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('1 kg % '!$G$59,'1 kg % '!$G$62,'1 kg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9888896"/>
        <c:axId val="199891584"/>
      </c:barChart>
      <c:catAx>
        <c:axId val="1998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891584"/>
        <c:crosses val="autoZero"/>
        <c:auto val="1"/>
        <c:lblAlgn val="ctr"/>
        <c:lblOffset val="100"/>
        <c:noMultiLvlLbl val="0"/>
      </c:catAx>
      <c:valAx>
        <c:axId val="1998915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988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kg %  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'2 kg %  '!$H$80:$H$82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E-45EA-9A15-F690F89C3192}"/>
            </c:ext>
          </c:extLst>
        </c:ser>
        <c:ser>
          <c:idx val="1"/>
          <c:order val="1"/>
          <c:tx>
            <c:strRef>
              <c:f>'2 kg %  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 kg %  '!$I$80:$I$82</c:f>
              <c:numCache>
                <c:formatCode>General</c:formatCode>
                <c:ptCount val="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E-45EA-9A15-F690F89C3192}"/>
            </c:ext>
          </c:extLst>
        </c:ser>
        <c:ser>
          <c:idx val="2"/>
          <c:order val="2"/>
          <c:tx>
            <c:strRef>
              <c:f>'2 kg % 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 kg % 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 kg % 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 kg %  '!$F$80:$F$82</c:f>
              <c:numCache>
                <c:formatCode>0.0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EE-45EA-9A15-F690F89C319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0321664"/>
        <c:axId val="200323840"/>
      </c:lineChart>
      <c:catAx>
        <c:axId val="20032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323840"/>
        <c:crosses val="autoZero"/>
        <c:auto val="1"/>
        <c:lblAlgn val="ctr"/>
        <c:lblOffset val="100"/>
        <c:tickMarkSkip val="1"/>
        <c:noMultiLvlLbl val="0"/>
      </c:catAx>
      <c:valAx>
        <c:axId val="2003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32166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kg % 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 kg %  '!$G$59,'2 kg %  '!$G$62,'2 kg % 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0636672"/>
        <c:axId val="200651904"/>
      </c:barChart>
      <c:catAx>
        <c:axId val="2006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51904"/>
        <c:crosses val="autoZero"/>
        <c:auto val="1"/>
        <c:lblAlgn val="ctr"/>
        <c:lblOffset val="100"/>
        <c:noMultiLvlLbl val="0"/>
      </c:catAx>
      <c:valAx>
        <c:axId val="200651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063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kg % +'!$H$79</c:f>
              <c:strCache>
                <c:ptCount val="1"/>
                <c:pt idx="0">
                  <c:v>EMP +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'2 kg % +'!$H$80:$H$82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3-41EC-A5EC-B6AB32C773DB}"/>
            </c:ext>
          </c:extLst>
        </c:ser>
        <c:ser>
          <c:idx val="1"/>
          <c:order val="1"/>
          <c:tx>
            <c:strRef>
              <c:f>'2 kg % +'!$I$79</c:f>
              <c:strCache>
                <c:ptCount val="1"/>
                <c:pt idx="0">
                  <c:v>EMP -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 kg % +'!$I$80:$I$82</c:f>
              <c:numCache>
                <c:formatCode>General</c:formatCode>
                <c:ptCount val="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3-41EC-A5EC-B6AB32C773DB}"/>
            </c:ext>
          </c:extLst>
        </c:ser>
        <c:ser>
          <c:idx val="2"/>
          <c:order val="2"/>
          <c:tx>
            <c:strRef>
              <c:f>'2 kg % +'!$F$79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 kg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 kg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 kg % +'!$F$80:$F$82</c:f>
              <c:numCache>
                <c:formatCode>0.0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3-41EC-A5EC-B6AB32C773D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1351168"/>
        <c:axId val="201353088"/>
      </c:lineChart>
      <c:catAx>
        <c:axId val="20135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353088"/>
        <c:crosses val="autoZero"/>
        <c:auto val="1"/>
        <c:lblAlgn val="ctr"/>
        <c:lblOffset val="100"/>
        <c:tickMarkSkip val="1"/>
        <c:noMultiLvlLbl val="0"/>
      </c:catAx>
      <c:valAx>
        <c:axId val="2013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351168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kg % +'!$G$58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 kg % +'!$G$59,'2 kg % +'!$G$62,'2 kg % +'!$G$66:$G$67)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1131136"/>
        <c:axId val="201132288"/>
      </c:barChart>
      <c:catAx>
        <c:axId val="2011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132288"/>
        <c:crosses val="autoZero"/>
        <c:auto val="1"/>
        <c:lblAlgn val="ctr"/>
        <c:lblOffset val="100"/>
        <c:noMultiLvlLbl val="0"/>
      </c:catAx>
      <c:valAx>
        <c:axId val="201132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113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 kg % '!$H$79</c:f>
              <c:strCache>
                <c:ptCount val="1"/>
                <c:pt idx="0">
                  <c:v>EMP + (mg)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'5 kg % '!$H$80:$H$82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0-4544-9513-BB5AFAAD8822}"/>
            </c:ext>
          </c:extLst>
        </c:ser>
        <c:ser>
          <c:idx val="1"/>
          <c:order val="1"/>
          <c:tx>
            <c:strRef>
              <c:f>'5 kg % '!$I$79</c:f>
              <c:strCache>
                <c:ptCount val="1"/>
                <c:pt idx="0">
                  <c:v>EMP - (mg)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'5 kg % '!$I$80:$I$82</c:f>
              <c:numCache>
                <c:formatCode>General</c:formatCode>
                <c:ptCount val="3"/>
                <c:pt idx="0">
                  <c:v>-25</c:v>
                </c:pt>
                <c:pt idx="1">
                  <c:v>-25</c:v>
                </c:pt>
                <c:pt idx="2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0-4544-9513-BB5AFAAD8822}"/>
            </c:ext>
          </c:extLst>
        </c:ser>
        <c:ser>
          <c:idx val="2"/>
          <c:order val="2"/>
          <c:tx>
            <c:strRef>
              <c:f>'5 kg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'5 kg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'5 kg % 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'5 kg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0-4544-9513-BB5AFAAD88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1896704"/>
        <c:axId val="201898624"/>
      </c:lineChart>
      <c:catAx>
        <c:axId val="20189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898624"/>
        <c:crosses val="autoZero"/>
        <c:auto val="1"/>
        <c:lblAlgn val="ctr"/>
        <c:lblOffset val="100"/>
        <c:tickMarkSkip val="1"/>
        <c:noMultiLvlLbl val="0"/>
      </c:catAx>
      <c:valAx>
        <c:axId val="20189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896704"/>
        <c:crosses val="autoZero"/>
        <c:crossBetween val="between"/>
        <c:majorUnit val="5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kg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('5 kg % '!$G$59,'5 kg % '!$G$62,'5 kg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2211712"/>
        <c:axId val="202214400"/>
      </c:barChart>
      <c:catAx>
        <c:axId val="2022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214400"/>
        <c:crosses val="autoZero"/>
        <c:auto val="1"/>
        <c:lblAlgn val="ctr"/>
        <c:lblOffset val="100"/>
        <c:noMultiLvlLbl val="0"/>
      </c:catAx>
      <c:valAx>
        <c:axId val="202214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221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%'!$A$117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%'!$F$117:$F$119</c:f>
              <c:numCache>
                <c:formatCode>General</c:formatCode>
                <c:ptCount val="3"/>
                <c:pt idx="0">
                  <c:v>598.03200000000004</c:v>
                </c:pt>
                <c:pt idx="1">
                  <c:v>752.71299999999997</c:v>
                </c:pt>
                <c:pt idx="2" formatCode="0.0">
                  <c:v>848.5</c:v>
                </c:pt>
              </c:numCache>
            </c:numRef>
          </c:xVal>
          <c:yVal>
            <c:numRef>
              <c:f>'DATOS %'!$H$117:$H$119</c:f>
              <c:numCache>
                <c:formatCode>0.00</c:formatCode>
                <c:ptCount val="3"/>
                <c:pt idx="0">
                  <c:v>1.534</c:v>
                </c:pt>
                <c:pt idx="1">
                  <c:v>1.0549999999999999</c:v>
                </c:pt>
                <c:pt idx="2">
                  <c:v>0.77800000000000002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A3-4CCC-B087-5F6EAE92A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72064"/>
        <c:axId val="165673600"/>
      </c:scatterChart>
      <c:valAx>
        <c:axId val="16567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673600"/>
        <c:crosses val="autoZero"/>
        <c:crossBetween val="midCat"/>
      </c:valAx>
      <c:valAx>
        <c:axId val="16567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67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 kg % '!$H$79</c:f>
              <c:strCache>
                <c:ptCount val="1"/>
                <c:pt idx="0">
                  <c:v>EMP + (g)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'10 kg % '!$H$80:$H$82</c:f>
              <c:numCache>
                <c:formatCode>General</c:formatCode>
                <c:ptCount val="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729-8AB7-EED1CDE96E92}"/>
            </c:ext>
          </c:extLst>
        </c:ser>
        <c:ser>
          <c:idx val="1"/>
          <c:order val="1"/>
          <c:tx>
            <c:strRef>
              <c:f>'10 kg % '!$I$79</c:f>
              <c:strCache>
                <c:ptCount val="1"/>
                <c:pt idx="0">
                  <c:v>EMP - (g)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'10 kg % '!$I$80:$I$82</c:f>
              <c:numCache>
                <c:formatCode>General</c:formatCode>
                <c:ptCount val="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4-4729-8AB7-EED1CDE96E92}"/>
            </c:ext>
          </c:extLst>
        </c:ser>
        <c:ser>
          <c:idx val="2"/>
          <c:order val="2"/>
          <c:tx>
            <c:strRef>
              <c:f>'10 kg %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'10 kg %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4-4729-8AB7-EED1CDE96E9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2630656"/>
        <c:axId val="202632576"/>
      </c:lineChart>
      <c:catAx>
        <c:axId val="20263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632576"/>
        <c:crosses val="autoZero"/>
        <c:auto val="1"/>
        <c:lblAlgn val="ctr"/>
        <c:lblOffset val="100"/>
        <c:tickMarkSkip val="1"/>
        <c:noMultiLvlLbl val="0"/>
      </c:catAx>
      <c:valAx>
        <c:axId val="2026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63065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 kg %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('10 kg % '!$G$59,'10 kg % '!$G$62,'10 kg %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2941568"/>
        <c:axId val="202711040"/>
      </c:barChart>
      <c:catAx>
        <c:axId val="2029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11040"/>
        <c:crosses val="autoZero"/>
        <c:auto val="1"/>
        <c:lblAlgn val="ctr"/>
        <c:lblOffset val="100"/>
        <c:noMultiLvlLbl val="0"/>
      </c:catAx>
      <c:valAx>
        <c:axId val="202711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294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Grafico</a:t>
            </a:r>
            <a:r>
              <a:rPr lang="es-CO" baseline="0"/>
              <a:t> de control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 kg %  '!$H$79</c:f>
              <c:strCache>
                <c:ptCount val="1"/>
                <c:pt idx="0">
                  <c:v>EMP + (g)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+'!$H$80:$H$82</c:f>
              <c:numCache>
                <c:formatCode>General</c:formatCode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Cache>
            </c:numRef>
          </c:cat>
          <c:val>
            <c:numRef>
              <c:f>'20 kg %  '!$H$80:$H$82</c:f>
              <c:numCache>
                <c:formatCode>0.00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A3-4378-8147-8B4A64FCA4E1}"/>
            </c:ext>
          </c:extLst>
        </c:ser>
        <c:ser>
          <c:idx val="1"/>
          <c:order val="1"/>
          <c:tx>
            <c:strRef>
              <c:f>'20 kg %  '!$I$79</c:f>
              <c:strCache>
                <c:ptCount val="1"/>
                <c:pt idx="0">
                  <c:v>EMP - (g)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 g % +'!$F$81</c:f>
              <c:numCache>
                <c:formatCode>0.00</c:formatCode>
                <c:ptCount val="1"/>
                <c:pt idx="0">
                  <c:v>#N/A</c:v>
                </c:pt>
              </c:numCache>
            </c:numRef>
          </c:cat>
          <c:val>
            <c:numRef>
              <c:f>'20 kg %  '!$I$80:$I$82</c:f>
              <c:numCache>
                <c:formatCode>0.00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3-4378-8147-8B4A64FCA4E1}"/>
            </c:ext>
          </c:extLst>
        </c:ser>
        <c:ser>
          <c:idx val="2"/>
          <c:order val="2"/>
          <c:tx>
            <c:strRef>
              <c:f>'20 kg %  '!$F$79</c:f>
              <c:strCache>
                <c:ptCount val="1"/>
                <c:pt idx="0">
                  <c:v>Valor Indicado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'2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'2 g % +'!$G$81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'20 kg %  '!$F$80:$F$82</c:f>
              <c:numCache>
                <c:formatCode>0.00</c:formatCode>
                <c:ptCount val="3"/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A3-4378-8147-8B4A64FCA4E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3786112"/>
        <c:axId val="203796480"/>
      </c:lineChart>
      <c:catAx>
        <c:axId val="20378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796480"/>
        <c:crosses val="autoZero"/>
        <c:auto val="1"/>
        <c:lblAlgn val="ctr"/>
        <c:lblOffset val="100"/>
        <c:tickMarkSkip val="1"/>
        <c:noMultiLvlLbl val="0"/>
      </c:catAx>
      <c:valAx>
        <c:axId val="203796480"/>
        <c:scaling>
          <c:orientation val="minMax"/>
          <c:max val="0.15000000000000002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  <a:r>
                  <a:rPr lang="en-US" baseline="0"/>
                  <a:t> ± U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786112"/>
        <c:crosses val="autoZero"/>
        <c:crossBetween val="between"/>
        <c:majorUnit val="2.0000000000000004E-2"/>
      </c:valAx>
      <c:spPr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 kg %  '!$G$58</c:f>
              <c:strCache>
                <c:ptCount val="1"/>
                <c:pt idx="0">
                  <c:v>Aporte a la Incertidumbre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8076231684837075E-3"/>
                  <c:y val="-1.088045812455594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5-4E25-8F4D-89D104E21C1A}"/>
                </c:ext>
              </c:extLst>
            </c:dLbl>
            <c:dLbl>
              <c:idx val="1"/>
              <c:layout>
                <c:manualLayout>
                  <c:x val="0"/>
                  <c:y val="4.2405153901216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5-4E25-8F4D-89D104E21C1A}"/>
                </c:ext>
              </c:extLst>
            </c:dLbl>
            <c:dLbl>
              <c:idx val="2"/>
              <c:layout>
                <c:manualLayout>
                  <c:x val="0"/>
                  <c:y val="-9.45448818897637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5-4E25-8F4D-89D104E21C1A}"/>
                </c:ext>
              </c:extLst>
            </c:dLbl>
            <c:dLbl>
              <c:idx val="3"/>
              <c:layout>
                <c:manualLayout>
                  <c:x val="0"/>
                  <c:y val="2.3204008589834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5-4E25-8F4D-89D104E21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('1 g % '!$A$59,'1 g % '!$A$62,'1 g % '!$A$66:$A$67)</c:f>
              <c:strCache>
                <c:ptCount val="4"/>
                <c:pt idx="0">
                  <c:v>Proceso de pesaje</c:v>
                </c:pt>
                <c:pt idx="1">
                  <c:v>Pesa de referencia</c:v>
                </c:pt>
                <c:pt idx="2">
                  <c:v>Corrección por empuje del aire</c:v>
                </c:pt>
                <c:pt idx="3">
                  <c:v>Resolución balanza</c:v>
                </c:pt>
              </c:strCache>
            </c:strRef>
          </c:cat>
          <c:val>
            <c:numRef>
              <c:f>('20 kg %  '!$G$59,'20 kg %  '!$G$62,'20 kg %  '!$G$66:$G$67)</c:f>
              <c:numCache>
                <c:formatCode>0%</c:formatCode>
                <c:ptCount val="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5-4E25-8F4D-89D104E21C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3834880"/>
        <c:axId val="203846016"/>
      </c:barChart>
      <c:catAx>
        <c:axId val="2038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846016"/>
        <c:crosses val="autoZero"/>
        <c:auto val="1"/>
        <c:lblAlgn val="ctr"/>
        <c:lblOffset val="100"/>
        <c:noMultiLvlLbl val="0"/>
      </c:catAx>
      <c:valAx>
        <c:axId val="203846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383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%'!$A$127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214644597996678"/>
                  <c:y val="-0.472288142200046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%'!$F$127:$F$129</c:f>
              <c:numCache>
                <c:formatCode>General</c:formatCode>
                <c:ptCount val="3"/>
                <c:pt idx="0">
                  <c:v>397.70400000000001</c:v>
                </c:pt>
                <c:pt idx="1">
                  <c:v>752.71299999999997</c:v>
                </c:pt>
                <c:pt idx="2" formatCode="0.000">
                  <c:v>1098.79</c:v>
                </c:pt>
              </c:numCache>
            </c:numRef>
          </c:xVal>
          <c:yVal>
            <c:numRef>
              <c:f>'DATOS %'!$H$127:$H$129</c:f>
              <c:numCache>
                <c:formatCode>#,##0.000</c:formatCode>
                <c:ptCount val="3"/>
                <c:pt idx="0" formatCode="#,##0.00">
                  <c:v>2.25</c:v>
                </c:pt>
                <c:pt idx="1">
                  <c:v>1.0549999999999999</c:v>
                </c:pt>
                <c:pt idx="2" formatCode="#,##0.00">
                  <c:v>0.84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9B-4BA8-803C-9E344972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63584"/>
        <c:axId val="186165120"/>
      </c:scatterChart>
      <c:valAx>
        <c:axId val="18616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65120"/>
        <c:crosses val="autoZero"/>
        <c:crossBetween val="midCat"/>
      </c:valAx>
      <c:valAx>
        <c:axId val="1861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6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%'!$A$124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%'!$F$124:$F$126</c:f>
              <c:numCache>
                <c:formatCode>General</c:formatCode>
                <c:ptCount val="3"/>
                <c:pt idx="0">
                  <c:v>32.4</c:v>
                </c:pt>
                <c:pt idx="1">
                  <c:v>50.2</c:v>
                </c:pt>
                <c:pt idx="2">
                  <c:v>76.099999999999994</c:v>
                </c:pt>
              </c:numCache>
            </c:numRef>
          </c:xVal>
          <c:yVal>
            <c:numRef>
              <c:f>'DATOS %'!$H$124:$H$126</c:f>
              <c:numCache>
                <c:formatCode>#,##0.0</c:formatCode>
                <c:ptCount val="3"/>
                <c:pt idx="0">
                  <c:v>-2.4</c:v>
                </c:pt>
                <c:pt idx="1">
                  <c:v>-0.2</c:v>
                </c:pt>
                <c:pt idx="2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21-46FF-A296-53657ADBF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208064"/>
        <c:axId val="189209600"/>
      </c:scatterChart>
      <c:valAx>
        <c:axId val="1892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209600"/>
        <c:crosses val="autoZero"/>
        <c:crossBetween val="midCat"/>
      </c:valAx>
      <c:valAx>
        <c:axId val="1892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20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%'!$A$121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%'!$F$121:$F$123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24.5</c:v>
                </c:pt>
                <c:pt idx="2">
                  <c:v>29.5</c:v>
                </c:pt>
              </c:numCache>
            </c:numRef>
          </c:xVal>
          <c:yVal>
            <c:numRef>
              <c:f>'DATOS %'!$H$121:$H$123</c:f>
              <c:numCache>
                <c:formatCode>General</c:formatCode>
                <c:ptCount val="3"/>
                <c:pt idx="0">
                  <c:v>-0.1</c:v>
                </c:pt>
                <c:pt idx="1">
                  <c:v>0.3</c:v>
                </c:pt>
                <c:pt idx="2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2B-44E9-A020-57D5F3556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285120"/>
        <c:axId val="189286656"/>
      </c:scatterChart>
      <c:valAx>
        <c:axId val="18928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286656"/>
        <c:crosses val="autoZero"/>
        <c:crossBetween val="midCat"/>
      </c:valAx>
      <c:valAx>
        <c:axId val="18928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28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%'!$A$131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318142375060259"/>
                  <c:y val="-0.534229857631432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%'!$F$131:$F$133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%'!$H$131:$H$133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 formatCode="General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DD-4F36-BFC0-C819B78B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37600"/>
        <c:axId val="189339136"/>
      </c:scatterChart>
      <c:valAx>
        <c:axId val="18933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339136"/>
        <c:crosses val="autoZero"/>
        <c:crossBetween val="midCat"/>
      </c:valAx>
      <c:valAx>
        <c:axId val="1893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337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4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5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2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3.png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124135" y="1428556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285567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74932" y="20084082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084082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040851" y="2229661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296612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72366" y="21548103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1548103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022070" y="23029395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029395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024498" y="23764781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3764781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024498" y="24453850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4453850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1103779" y="25253483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253483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1099591" y="25992684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5992684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5251321" y="2752566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752566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5101715" y="28048052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048052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911627" y="179906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79906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9313794" y="179285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7928533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975238" y="130219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169504" y="130484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0484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144657" y="134567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34567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244048" y="138568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38568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1036982" y="138485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38485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86072" y="138485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2922506" y="29363702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29363702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1911627" y="179906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79906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975238" y="130219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1169504" y="130484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0484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1144657" y="134567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34567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/>
          </xdr:nvSpPr>
          <xdr:spPr>
            <a:xfrm>
              <a:off x="1244048" y="138568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38568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/>
          </xdr:nvSpPr>
          <xdr:spPr>
            <a:xfrm>
              <a:off x="1036982" y="138485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38485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86072" y="138485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>
            <a:xfrm>
              <a:off x="1911627" y="179906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7990654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975238" y="130219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/>
          </xdr:nvSpPr>
          <xdr:spPr>
            <a:xfrm>
              <a:off x="1169504" y="130484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048421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1144657" y="134567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3456754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>
              <a:off x="1244048" y="138568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3856805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1036982" y="138485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3848522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86072" y="13848521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001500" y="2203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 txBox="1"/>
          </xdr:nvSpPr>
          <xdr:spPr>
            <a:xfrm>
              <a:off x="5397500" y="29381449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29381449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3872442" y="29370867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29370867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47624</xdr:colOff>
      <xdr:row>72</xdr:row>
      <xdr:rowOff>119062</xdr:rowOff>
    </xdr:from>
    <xdr:ext cx="726281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/>
          </xdr:nvSpPr>
          <xdr:spPr>
            <a:xfrm>
              <a:off x="1023937" y="30229968"/>
              <a:ext cx="726281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23937" y="30229968"/>
              <a:ext cx="726281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9396942" y="29508451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9396942" y="29508451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</a:t>
              </a:r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(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𝒎 𝒄𝒕 </a:t>
              </a:r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)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299702" y="29821717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267949" y="30291616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371167" y="29885216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424083" y="30259867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3246966" y="28858634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8858634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55706" y="287619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841375</xdr:colOff>
      <xdr:row>62</xdr:row>
      <xdr:rowOff>309563</xdr:rowOff>
    </xdr:from>
    <xdr:to>
      <xdr:col>11</xdr:col>
      <xdr:colOff>766761</xdr:colOff>
      <xdr:row>64</xdr:row>
      <xdr:rowOff>582613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7794625" y="34623376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C2FE8B4B-8DC7-4098-A203-DBE7F82CBB87}"/>
                </a:ext>
              </a:extLst>
            </xdr:cNvPr>
            <xdr:cNvSpPr txBox="1"/>
          </xdr:nvSpPr>
          <xdr:spPr>
            <a:xfrm>
              <a:off x="7794625" y="34623376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214312</xdr:colOff>
      <xdr:row>0</xdr:row>
      <xdr:rowOff>154780</xdr:rowOff>
    </xdr:from>
    <xdr:to>
      <xdr:col>1</xdr:col>
      <xdr:colOff>554849</xdr:colOff>
      <xdr:row>0</xdr:row>
      <xdr:rowOff>770529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" y="154780"/>
          <a:ext cx="1316850" cy="615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9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9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9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9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9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9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9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9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9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9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9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9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9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9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9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9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9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9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9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9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9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9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9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9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9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9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47624</xdr:colOff>
      <xdr:row>72</xdr:row>
      <xdr:rowOff>95250</xdr:rowOff>
    </xdr:from>
    <xdr:ext cx="701145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900-00002A000000}"/>
                </a:ext>
              </a:extLst>
            </xdr:cNvPr>
            <xdr:cNvSpPr txBox="1"/>
          </xdr:nvSpPr>
          <xdr:spPr>
            <a:xfrm>
              <a:off x="1023937" y="30206156"/>
              <a:ext cx="701145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23937" y="30206156"/>
              <a:ext cx="701145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9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9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9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833438</xdr:colOff>
      <xdr:row>62</xdr:row>
      <xdr:rowOff>309563</xdr:rowOff>
    </xdr:from>
    <xdr:to>
      <xdr:col>11</xdr:col>
      <xdr:colOff>730249</xdr:colOff>
      <xdr:row>64</xdr:row>
      <xdr:rowOff>582613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9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71948BC9-2916-424C-ABE6-C0EC314457C8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A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A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A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A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A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A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A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A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A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A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A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A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A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A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A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A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A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A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A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A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A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11906</xdr:colOff>
      <xdr:row>72</xdr:row>
      <xdr:rowOff>95250</xdr:rowOff>
    </xdr:from>
    <xdr:ext cx="736864" cy="214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A00-00002A000000}"/>
                </a:ext>
              </a:extLst>
            </xdr:cNvPr>
            <xdr:cNvSpPr txBox="1"/>
          </xdr:nvSpPr>
          <xdr:spPr>
            <a:xfrm>
              <a:off x="988219" y="30206156"/>
              <a:ext cx="736864" cy="214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988219" y="30206156"/>
              <a:ext cx="736864" cy="214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A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A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A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857250</xdr:colOff>
      <xdr:row>62</xdr:row>
      <xdr:rowOff>250031</xdr:rowOff>
    </xdr:from>
    <xdr:to>
      <xdr:col>11</xdr:col>
      <xdr:colOff>754061</xdr:colOff>
      <xdr:row>64</xdr:row>
      <xdr:rowOff>523081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A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DE2BFEE5-60E1-4E9F-B742-F8F61C2D1B8A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B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B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B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B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B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B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B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B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B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B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B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B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B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B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B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B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B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B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B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B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B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B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B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35718</xdr:colOff>
      <xdr:row>72</xdr:row>
      <xdr:rowOff>95250</xdr:rowOff>
    </xdr:from>
    <xdr:ext cx="713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B00-00002A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B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B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B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892968</xdr:colOff>
      <xdr:row>62</xdr:row>
      <xdr:rowOff>202406</xdr:rowOff>
    </xdr:from>
    <xdr:to>
      <xdr:col>12</xdr:col>
      <xdr:colOff>27779</xdr:colOff>
      <xdr:row>64</xdr:row>
      <xdr:rowOff>475456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00000000-0008-0000-0B00-000033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3E836E62-78CE-440D-BD36-CC0AFD2135E1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C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C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C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C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C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C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C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C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C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C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C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C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C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C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C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C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C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C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C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C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C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C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23812</xdr:colOff>
      <xdr:row>72</xdr:row>
      <xdr:rowOff>95250</xdr:rowOff>
    </xdr:from>
    <xdr:ext cx="724958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C00-00002A000000}"/>
                </a:ext>
              </a:extLst>
            </xdr:cNvPr>
            <xdr:cNvSpPr txBox="1"/>
          </xdr:nvSpPr>
          <xdr:spPr>
            <a:xfrm>
              <a:off x="1000125" y="30206156"/>
              <a:ext cx="724958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00125" y="30206156"/>
              <a:ext cx="724958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C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C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C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750094</xdr:colOff>
      <xdr:row>62</xdr:row>
      <xdr:rowOff>250031</xdr:rowOff>
    </xdr:from>
    <xdr:to>
      <xdr:col>11</xdr:col>
      <xdr:colOff>646905</xdr:colOff>
      <xdr:row>64</xdr:row>
      <xdr:rowOff>523081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C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ABD83E0-466C-45A5-A3DA-858FAD35892F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D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D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D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D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D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D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D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D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D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D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D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D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D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D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D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D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D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D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D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D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D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D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D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D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D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964407</xdr:colOff>
      <xdr:row>72</xdr:row>
      <xdr:rowOff>95250</xdr:rowOff>
    </xdr:from>
    <xdr:ext cx="760676" cy="214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D00-00002A000000}"/>
                </a:ext>
              </a:extLst>
            </xdr:cNvPr>
            <xdr:cNvSpPr txBox="1"/>
          </xdr:nvSpPr>
          <xdr:spPr>
            <a:xfrm>
              <a:off x="964407" y="30206156"/>
              <a:ext cx="760676" cy="214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964407" y="30206156"/>
              <a:ext cx="760676" cy="214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D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D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D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857250</xdr:colOff>
      <xdr:row>62</xdr:row>
      <xdr:rowOff>261938</xdr:rowOff>
    </xdr:from>
    <xdr:to>
      <xdr:col>11</xdr:col>
      <xdr:colOff>754061</xdr:colOff>
      <xdr:row>64</xdr:row>
      <xdr:rowOff>534988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D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C8B450E1-D2CE-429F-804F-542E092E5CF9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E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E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E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E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E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E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E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E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E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E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E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E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E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E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E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E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E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E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E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E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E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E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E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E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E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E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11906</xdr:colOff>
      <xdr:row>72</xdr:row>
      <xdr:rowOff>95250</xdr:rowOff>
    </xdr:from>
    <xdr:ext cx="736864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E00-00002A000000}"/>
                </a:ext>
              </a:extLst>
            </xdr:cNvPr>
            <xdr:cNvSpPr txBox="1"/>
          </xdr:nvSpPr>
          <xdr:spPr>
            <a:xfrm>
              <a:off x="988219" y="30206156"/>
              <a:ext cx="736864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988219" y="30206156"/>
              <a:ext cx="736864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E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E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E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785813</xdr:colOff>
      <xdr:row>62</xdr:row>
      <xdr:rowOff>214312</xdr:rowOff>
    </xdr:from>
    <xdr:to>
      <xdr:col>11</xdr:col>
      <xdr:colOff>682624</xdr:colOff>
      <xdr:row>64</xdr:row>
      <xdr:rowOff>487362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E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67521C3D-A944-4541-8A07-722DACEDA473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F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F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F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F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F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F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F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F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F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F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F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F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F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F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F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F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F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F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F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F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F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F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F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F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F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35718</xdr:colOff>
      <xdr:row>72</xdr:row>
      <xdr:rowOff>95250</xdr:rowOff>
    </xdr:from>
    <xdr:ext cx="713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F00-00002A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</a:t>
              </a:r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 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F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F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F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809625</xdr:colOff>
      <xdr:row>62</xdr:row>
      <xdr:rowOff>202406</xdr:rowOff>
    </xdr:from>
    <xdr:to>
      <xdr:col>11</xdr:col>
      <xdr:colOff>706436</xdr:colOff>
      <xdr:row>64</xdr:row>
      <xdr:rowOff>475456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F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F8215A5F-7945-4975-BC16-B0A3F2B6579C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10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10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10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10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10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10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10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10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10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10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10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10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35718</xdr:colOff>
      <xdr:row>72</xdr:row>
      <xdr:rowOff>95251</xdr:rowOff>
    </xdr:from>
    <xdr:ext cx="713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1000-00002A000000}"/>
                </a:ext>
              </a:extLst>
            </xdr:cNvPr>
            <xdr:cNvSpPr txBox="1"/>
          </xdr:nvSpPr>
          <xdr:spPr>
            <a:xfrm>
              <a:off x="1012031" y="30206157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12031" y="30206157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0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0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10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845344</xdr:colOff>
      <xdr:row>62</xdr:row>
      <xdr:rowOff>226219</xdr:rowOff>
    </xdr:from>
    <xdr:to>
      <xdr:col>11</xdr:col>
      <xdr:colOff>742155</xdr:colOff>
      <xdr:row>64</xdr:row>
      <xdr:rowOff>499269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10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F3DDD8DD-E7A3-4AFD-917C-4EC4064E6A1E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1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1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11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11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11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11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11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11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11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11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11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11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11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11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11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11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11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11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11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11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11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11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11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11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11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11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11906</xdr:colOff>
      <xdr:row>72</xdr:row>
      <xdr:rowOff>95250</xdr:rowOff>
    </xdr:from>
    <xdr:ext cx="736864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1100-00002A000000}"/>
                </a:ext>
              </a:extLst>
            </xdr:cNvPr>
            <xdr:cNvSpPr txBox="1"/>
          </xdr:nvSpPr>
          <xdr:spPr>
            <a:xfrm>
              <a:off x="988219" y="30206156"/>
              <a:ext cx="736864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988219" y="30206156"/>
              <a:ext cx="736864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1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1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11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714375</xdr:colOff>
      <xdr:row>62</xdr:row>
      <xdr:rowOff>238125</xdr:rowOff>
    </xdr:from>
    <xdr:to>
      <xdr:col>11</xdr:col>
      <xdr:colOff>611186</xdr:colOff>
      <xdr:row>64</xdr:row>
      <xdr:rowOff>511175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11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2E0B8728-B007-4296-B664-B58681729207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261938</xdr:colOff>
      <xdr:row>0</xdr:row>
      <xdr:rowOff>45487</xdr:rowOff>
    </xdr:from>
    <xdr:to>
      <xdr:col>1</xdr:col>
      <xdr:colOff>547687</xdr:colOff>
      <xdr:row>0</xdr:row>
      <xdr:rowOff>547993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61938" y="45487"/>
          <a:ext cx="1262062" cy="502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2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2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12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12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12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12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12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12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12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12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12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12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12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12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12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12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12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12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12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12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12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12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12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12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12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12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35718</xdr:colOff>
      <xdr:row>72</xdr:row>
      <xdr:rowOff>95250</xdr:rowOff>
    </xdr:from>
    <xdr:ext cx="713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1200-00002A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2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2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12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833437</xdr:colOff>
      <xdr:row>62</xdr:row>
      <xdr:rowOff>238125</xdr:rowOff>
    </xdr:from>
    <xdr:to>
      <xdr:col>11</xdr:col>
      <xdr:colOff>730248</xdr:colOff>
      <xdr:row>64</xdr:row>
      <xdr:rowOff>511175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12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EB39CF22-1A51-4211-B97B-B61A4619818A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164418</xdr:colOff>
      <xdr:row>114</xdr:row>
      <xdr:rowOff>76200</xdr:rowOff>
    </xdr:from>
    <xdr:to>
      <xdr:col>14</xdr:col>
      <xdr:colOff>936624</xdr:colOff>
      <xdr:row>118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185511</xdr:colOff>
      <xdr:row>114</xdr:row>
      <xdr:rowOff>92074</xdr:rowOff>
    </xdr:from>
    <xdr:to>
      <xdr:col>16</xdr:col>
      <xdr:colOff>920749</xdr:colOff>
      <xdr:row>118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206375</xdr:colOff>
      <xdr:row>114</xdr:row>
      <xdr:rowOff>127000</xdr:rowOff>
    </xdr:from>
    <xdr:to>
      <xdr:col>18</xdr:col>
      <xdr:colOff>1222376</xdr:colOff>
      <xdr:row>118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238125</xdr:colOff>
      <xdr:row>123</xdr:row>
      <xdr:rowOff>380999</xdr:rowOff>
    </xdr:from>
    <xdr:to>
      <xdr:col>18</xdr:col>
      <xdr:colOff>1190625</xdr:colOff>
      <xdr:row>128</xdr:row>
      <xdr:rowOff>79374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317501</xdr:colOff>
      <xdr:row>124</xdr:row>
      <xdr:rowOff>15875</xdr:rowOff>
    </xdr:from>
    <xdr:to>
      <xdr:col>16</xdr:col>
      <xdr:colOff>1063626</xdr:colOff>
      <xdr:row>128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224518</xdr:colOff>
      <xdr:row>124</xdr:row>
      <xdr:rowOff>95250</xdr:rowOff>
    </xdr:from>
    <xdr:to>
      <xdr:col>14</xdr:col>
      <xdr:colOff>904875</xdr:colOff>
      <xdr:row>128</xdr:row>
      <xdr:rowOff>158750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174624</xdr:colOff>
      <xdr:row>133</xdr:row>
      <xdr:rowOff>333374</xdr:rowOff>
    </xdr:from>
    <xdr:to>
      <xdr:col>14</xdr:col>
      <xdr:colOff>1127124</xdr:colOff>
      <xdr:row>137</xdr:row>
      <xdr:rowOff>380999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439512</xdr:colOff>
      <xdr:row>133</xdr:row>
      <xdr:rowOff>349250</xdr:rowOff>
    </xdr:from>
    <xdr:to>
      <xdr:col>16</xdr:col>
      <xdr:colOff>1206500</xdr:colOff>
      <xdr:row>138</xdr:row>
      <xdr:rowOff>21770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387805</xdr:colOff>
      <xdr:row>134</xdr:row>
      <xdr:rowOff>31750</xdr:rowOff>
    </xdr:from>
    <xdr:to>
      <xdr:col>18</xdr:col>
      <xdr:colOff>1158876</xdr:colOff>
      <xdr:row>138</xdr:row>
      <xdr:rowOff>63500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223611</xdr:colOff>
      <xdr:row>145</xdr:row>
      <xdr:rowOff>0</xdr:rowOff>
    </xdr:from>
    <xdr:to>
      <xdr:col>14</xdr:col>
      <xdr:colOff>1095375</xdr:colOff>
      <xdr:row>149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390977</xdr:colOff>
      <xdr:row>145</xdr:row>
      <xdr:rowOff>0</xdr:rowOff>
    </xdr:from>
    <xdr:to>
      <xdr:col>16</xdr:col>
      <xdr:colOff>1206499</xdr:colOff>
      <xdr:row>148</xdr:row>
      <xdr:rowOff>397780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349250</xdr:colOff>
      <xdr:row>145</xdr:row>
      <xdr:rowOff>15874</xdr:rowOff>
    </xdr:from>
    <xdr:to>
      <xdr:col>18</xdr:col>
      <xdr:colOff>1143001</xdr:colOff>
      <xdr:row>148</xdr:row>
      <xdr:rowOff>412750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349250</xdr:colOff>
      <xdr:row>154</xdr:row>
      <xdr:rowOff>79375</xdr:rowOff>
    </xdr:from>
    <xdr:to>
      <xdr:col>18</xdr:col>
      <xdr:colOff>1238251</xdr:colOff>
      <xdr:row>158</xdr:row>
      <xdr:rowOff>75293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412750</xdr:colOff>
      <xdr:row>154</xdr:row>
      <xdr:rowOff>0</xdr:rowOff>
    </xdr:from>
    <xdr:to>
      <xdr:col>16</xdr:col>
      <xdr:colOff>1349375</xdr:colOff>
      <xdr:row>158</xdr:row>
      <xdr:rowOff>119287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221795</xdr:colOff>
      <xdr:row>153</xdr:row>
      <xdr:rowOff>333376</xdr:rowOff>
    </xdr:from>
    <xdr:to>
      <xdr:col>14</xdr:col>
      <xdr:colOff>1270000</xdr:colOff>
      <xdr:row>158</xdr:row>
      <xdr:rowOff>114302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3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3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13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13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13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13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13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13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13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13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13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13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13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13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13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13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13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13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13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13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13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13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13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13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13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13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35718</xdr:colOff>
      <xdr:row>72</xdr:row>
      <xdr:rowOff>95250</xdr:rowOff>
    </xdr:from>
    <xdr:ext cx="713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1300-00002A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3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13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13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797719</xdr:colOff>
      <xdr:row>62</xdr:row>
      <xdr:rowOff>202406</xdr:rowOff>
    </xdr:from>
    <xdr:to>
      <xdr:col>11</xdr:col>
      <xdr:colOff>694530</xdr:colOff>
      <xdr:row>64</xdr:row>
      <xdr:rowOff>475456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00000000-0008-0000-1300-000033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5C01116C-FC1A-4012-B2A8-8D7BFA374BFB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83342</xdr:colOff>
      <xdr:row>72</xdr:row>
      <xdr:rowOff>95250</xdr:rowOff>
    </xdr:from>
    <xdr:ext cx="665427" cy="214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1059655" y="30206156"/>
              <a:ext cx="665427" cy="214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59655" y="30206156"/>
              <a:ext cx="665427" cy="214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833438</xdr:colOff>
      <xdr:row>62</xdr:row>
      <xdr:rowOff>206375</xdr:rowOff>
    </xdr:from>
    <xdr:to>
      <xdr:col>11</xdr:col>
      <xdr:colOff>758824</xdr:colOff>
      <xdr:row>64</xdr:row>
      <xdr:rowOff>479425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 txBox="1"/>
          </xdr:nvSpPr>
          <xdr:spPr>
            <a:xfrm>
              <a:off x="7791450" y="347281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id="{295A1DA5-DEA0-4860-8478-15DE52919312}"/>
                </a:ext>
              </a:extLst>
            </xdr:cNvPr>
            <xdr:cNvSpPr txBox="1"/>
          </xdr:nvSpPr>
          <xdr:spPr>
            <a:xfrm>
              <a:off x="7791450" y="347281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329046</xdr:colOff>
      <xdr:row>0</xdr:row>
      <xdr:rowOff>103909</xdr:rowOff>
    </xdr:from>
    <xdr:to>
      <xdr:col>1</xdr:col>
      <xdr:colOff>427644</xdr:colOff>
      <xdr:row>0</xdr:row>
      <xdr:rowOff>719224</xdr:rowOff>
    </xdr:to>
    <xdr:pic>
      <xdr:nvPicPr>
        <xdr:cNvPr id="52" name="51 Imagen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046" y="103909"/>
          <a:ext cx="1319530" cy="61531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3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3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11907</xdr:colOff>
      <xdr:row>72</xdr:row>
      <xdr:rowOff>107158</xdr:rowOff>
    </xdr:from>
    <xdr:ext cx="773906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/>
          </xdr:nvSpPr>
          <xdr:spPr>
            <a:xfrm>
              <a:off x="988220" y="30218064"/>
              <a:ext cx="773906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988220" y="30218064"/>
              <a:ext cx="773906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865187</xdr:colOff>
      <xdr:row>62</xdr:row>
      <xdr:rowOff>230188</xdr:rowOff>
    </xdr:from>
    <xdr:to>
      <xdr:col>11</xdr:col>
      <xdr:colOff>790573</xdr:colOff>
      <xdr:row>64</xdr:row>
      <xdr:rowOff>503238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DA77570E-541F-4C46-85F0-E89F790DF9D7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47625</xdr:colOff>
      <xdr:row>72</xdr:row>
      <xdr:rowOff>95250</xdr:rowOff>
    </xdr:from>
    <xdr:ext cx="74877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400-00002A000000}"/>
                </a:ext>
              </a:extLst>
            </xdr:cNvPr>
            <xdr:cNvSpPr txBox="1"/>
          </xdr:nvSpPr>
          <xdr:spPr>
            <a:xfrm>
              <a:off x="1023938" y="30206156"/>
              <a:ext cx="74877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23938" y="30206156"/>
              <a:ext cx="74877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4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4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4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881063</xdr:colOff>
      <xdr:row>62</xdr:row>
      <xdr:rowOff>261938</xdr:rowOff>
    </xdr:from>
    <xdr:to>
      <xdr:col>12</xdr:col>
      <xdr:colOff>15874</xdr:colOff>
      <xdr:row>64</xdr:row>
      <xdr:rowOff>534988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4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F28B5D3E-AA35-4D87-A29F-D9F44EF8107C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5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5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5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23812</xdr:colOff>
      <xdr:row>72</xdr:row>
      <xdr:rowOff>95250</xdr:rowOff>
    </xdr:from>
    <xdr:ext cx="724957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/>
          </xdr:nvSpPr>
          <xdr:spPr>
            <a:xfrm>
              <a:off x="1000125" y="30206156"/>
              <a:ext cx="724957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00125" y="30206156"/>
              <a:ext cx="724957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5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869156</xdr:colOff>
      <xdr:row>62</xdr:row>
      <xdr:rowOff>250032</xdr:rowOff>
    </xdr:from>
    <xdr:to>
      <xdr:col>12</xdr:col>
      <xdr:colOff>3967</xdr:colOff>
      <xdr:row>64</xdr:row>
      <xdr:rowOff>523082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5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FF13ABDD-A8C9-4239-AC0B-90F41EF841B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6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6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6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6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6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6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6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6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6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6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6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11906</xdr:colOff>
      <xdr:row>72</xdr:row>
      <xdr:rowOff>95250</xdr:rowOff>
    </xdr:from>
    <xdr:ext cx="736864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600-00002A000000}"/>
                </a:ext>
              </a:extLst>
            </xdr:cNvPr>
            <xdr:cNvSpPr txBox="1"/>
          </xdr:nvSpPr>
          <xdr:spPr>
            <a:xfrm>
              <a:off x="988219" y="30206156"/>
              <a:ext cx="736864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988219" y="30206156"/>
              <a:ext cx="736864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6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6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6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904875</xdr:colOff>
      <xdr:row>62</xdr:row>
      <xdr:rowOff>273844</xdr:rowOff>
    </xdr:from>
    <xdr:to>
      <xdr:col>12</xdr:col>
      <xdr:colOff>39686</xdr:colOff>
      <xdr:row>64</xdr:row>
      <xdr:rowOff>546894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00000000-0008-0000-0600-000034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A0D40CEA-681A-491D-94FF-215F52D22ACB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7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7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7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7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7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7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23811</xdr:colOff>
      <xdr:row>72</xdr:row>
      <xdr:rowOff>95250</xdr:rowOff>
    </xdr:from>
    <xdr:ext cx="760677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700-00002A000000}"/>
                </a:ext>
              </a:extLst>
            </xdr:cNvPr>
            <xdr:cNvSpPr txBox="1"/>
          </xdr:nvSpPr>
          <xdr:spPr>
            <a:xfrm>
              <a:off x="1000124" y="30206156"/>
              <a:ext cx="760677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00124" y="30206156"/>
              <a:ext cx="760677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7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7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7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821531</xdr:colOff>
      <xdr:row>62</xdr:row>
      <xdr:rowOff>285750</xdr:rowOff>
    </xdr:from>
    <xdr:to>
      <xdr:col>11</xdr:col>
      <xdr:colOff>718342</xdr:colOff>
      <xdr:row>64</xdr:row>
      <xdr:rowOff>558800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00000000-0008-0000-0700-000033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940ED563-00CA-4D6D-AE30-52806603CE9A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906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285935</xdr:colOff>
      <xdr:row>42</xdr:row>
      <xdr:rowOff>169517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3000000}"/>
                </a:ext>
              </a:extLst>
            </xdr:cNvPr>
            <xdr:cNvSpPr txBox="1"/>
          </xdr:nvSpPr>
          <xdr:spPr>
            <a:xfrm>
              <a:off x="1124135" y="149808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136732</xdr:colOff>
      <xdr:row>58</xdr:row>
      <xdr:rowOff>253032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4000000}"/>
                </a:ext>
              </a:extLst>
            </xdr:cNvPr>
            <xdr:cNvSpPr txBox="1"/>
          </xdr:nvSpPr>
          <xdr:spPr>
            <a:xfrm>
              <a:off x="974932" y="20779407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202651</xdr:colOff>
      <xdr:row>61</xdr:row>
      <xdr:rowOff>265287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5000000}"/>
                </a:ext>
              </a:extLst>
            </xdr:cNvPr>
            <xdr:cNvSpPr txBox="1"/>
          </xdr:nvSpPr>
          <xdr:spPr>
            <a:xfrm>
              <a:off x="1040851" y="2299193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34166</xdr:colOff>
      <xdr:row>60</xdr:row>
      <xdr:rowOff>250203</xdr:rowOff>
    </xdr:from>
    <xdr:ext cx="68948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𝒊𝒏𝒔𝒕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6000000}"/>
                </a:ext>
              </a:extLst>
            </xdr:cNvPr>
            <xdr:cNvSpPr txBox="1"/>
          </xdr:nvSpPr>
          <xdr:spPr>
            <a:xfrm>
              <a:off x="872366" y="22243428"/>
              <a:ext cx="68948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𝒖_𝒊𝒏𝒔𝒕 (𝒎_𝒄𝒓</a:t>
              </a:r>
              <a:r>
                <a:rPr lang="es-CO" sz="1100" b="0" i="0">
                  <a:latin typeface="Cambria Math" panose="02040503050406030204" pitchFamily="18" charset="0"/>
                </a:rPr>
                <a:t>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183870</xdr:colOff>
      <xdr:row>62</xdr:row>
      <xdr:rowOff>264645</xdr:rowOff>
    </xdr:from>
    <xdr:ext cx="397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7000000}"/>
                </a:ext>
              </a:extLst>
            </xdr:cNvPr>
            <xdr:cNvSpPr txBox="1"/>
          </xdr:nvSpPr>
          <xdr:spPr>
            <a:xfrm>
              <a:off x="1022070" y="23724720"/>
              <a:ext cx="397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𝒂)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63</xdr:row>
      <xdr:rowOff>266606</xdr:rowOff>
    </xdr:from>
    <xdr:ext cx="3766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8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8000000}"/>
                </a:ext>
              </a:extLst>
            </xdr:cNvPr>
            <xdr:cNvSpPr txBox="1"/>
          </xdr:nvSpPr>
          <xdr:spPr>
            <a:xfrm>
              <a:off x="1024498" y="24460106"/>
              <a:ext cx="3766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186298</xdr:colOff>
      <xdr:row>64</xdr:row>
      <xdr:rowOff>222250</xdr:rowOff>
    </xdr:from>
    <xdr:ext cx="3886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8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9000000}"/>
                </a:ext>
              </a:extLst>
            </xdr:cNvPr>
            <xdr:cNvSpPr txBox="1"/>
          </xdr:nvSpPr>
          <xdr:spPr>
            <a:xfrm>
              <a:off x="1024498" y="25149175"/>
              <a:ext cx="3886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CO" sz="1100" b="1" i="0">
                  <a:latin typeface="Cambria Math" panose="02040503050406030204" pitchFamily="18" charset="0"/>
                </a:rPr>
                <a:t>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288458</xdr:rowOff>
    </xdr:from>
    <xdr:ext cx="191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8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A000000}"/>
                </a:ext>
              </a:extLst>
            </xdr:cNvPr>
            <xdr:cNvSpPr txBox="1"/>
          </xdr:nvSpPr>
          <xdr:spPr>
            <a:xfrm>
              <a:off x="1103779" y="25948808"/>
              <a:ext cx="191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𝒖_𝒃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261391</xdr:colOff>
      <xdr:row>66</xdr:row>
      <xdr:rowOff>294234</xdr:rowOff>
    </xdr:from>
    <xdr:ext cx="1950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8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𝒅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B000000}"/>
                </a:ext>
              </a:extLst>
            </xdr:cNvPr>
            <xdr:cNvSpPr txBox="1"/>
          </xdr:nvSpPr>
          <xdr:spPr>
            <a:xfrm>
              <a:off x="1099591" y="26688009"/>
              <a:ext cx="1950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𝒖_𝒅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393571</xdr:colOff>
      <xdr:row>68</xdr:row>
      <xdr:rowOff>265119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8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C000000}"/>
                </a:ext>
              </a:extLst>
            </xdr:cNvPr>
            <xdr:cNvSpPr txBox="1"/>
          </xdr:nvSpPr>
          <xdr:spPr>
            <a:xfrm>
              <a:off x="5251321" y="28220994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243965</xdr:colOff>
      <xdr:row>69</xdr:row>
      <xdr:rowOff>130277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8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D000000}"/>
                </a:ext>
              </a:extLst>
            </xdr:cNvPr>
            <xdr:cNvSpPr txBox="1"/>
          </xdr:nvSpPr>
          <xdr:spPr>
            <a:xfrm>
              <a:off x="5101715" y="28743377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8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8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0F000000}"/>
                </a:ext>
              </a:extLst>
            </xdr:cNvPr>
            <xdr:cNvSpPr txBox="1"/>
          </xdr:nvSpPr>
          <xdr:spPr>
            <a:xfrm>
              <a:off x="9313794" y="186238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8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1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2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3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4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236456</xdr:colOff>
      <xdr:row>72</xdr:row>
      <xdr:rowOff>141002</xdr:rowOff>
    </xdr:from>
    <xdr:ext cx="730521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8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∆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</m:t>
                      </m:r>
                    </m:sub>
                  </m:sSub>
                </m:oMath>
              </a14:m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2922506" y="30059027"/>
              <a:ext cx="7305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r>
                <a:rPr lang="es-CO" sz="1400" b="1" i="1"/>
                <a:t> (mg</a:t>
              </a:r>
              <a:r>
                <a:rPr lang="es-CO" sz="1200" b="1" i="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800-000017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3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800-000019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6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800-00001A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7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800-00001B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8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800-00001C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29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800-00001E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8000000}"/>
                </a:ext>
              </a:extLst>
            </xdr:cNvPr>
            <xdr:cNvSpPr txBox="1"/>
          </xdr:nvSpPr>
          <xdr:spPr>
            <a:xfrm>
              <a:off x="1911627" y="186859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3975238" y="137172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800-000020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B000000}"/>
                </a:ext>
              </a:extLst>
            </xdr:cNvPr>
            <xdr:cNvSpPr txBox="1"/>
          </xdr:nvSpPr>
          <xdr:spPr>
            <a:xfrm>
              <a:off x="1169504" y="137437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800-000021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C000000}"/>
                </a:ext>
              </a:extLst>
            </xdr:cNvPr>
            <xdr:cNvSpPr txBox="1"/>
          </xdr:nvSpPr>
          <xdr:spPr>
            <a:xfrm>
              <a:off x="1144657" y="141520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800-000022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D000000}"/>
                </a:ext>
              </a:extLst>
            </xdr:cNvPr>
            <xdr:cNvSpPr txBox="1"/>
          </xdr:nvSpPr>
          <xdr:spPr>
            <a:xfrm>
              <a:off x="1244048" y="145521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800-000023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3E000000}"/>
                </a:ext>
              </a:extLst>
            </xdr:cNvPr>
            <xdr:cNvSpPr txBox="1"/>
          </xdr:nvSpPr>
          <xdr:spPr>
            <a:xfrm>
              <a:off x="1036982" y="145438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186072" y="145438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11</xdr:col>
      <xdr:colOff>628650</xdr:colOff>
      <xdr:row>61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2001500" y="2272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539750</xdr:colOff>
      <xdr:row>72</xdr:row>
      <xdr:rowOff>158749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800-000027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𝒆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5397500" y="30076774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𝒆 𝒄𝒕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52917</xdr:colOff>
      <xdr:row>72</xdr:row>
      <xdr:rowOff>148167</xdr:rowOff>
    </xdr:from>
    <xdr:ext cx="98425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800-000028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872442" y="30066192"/>
              <a:ext cx="98425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𝒄𝒕 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35718</xdr:colOff>
      <xdr:row>72</xdr:row>
      <xdr:rowOff>95250</xdr:rowOff>
    </xdr:from>
    <xdr:ext cx="713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800-00002A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𝑵𝒓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(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𝒈</m:t>
                    </m:r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1012031" y="30206156"/>
              <a:ext cx="713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 𝑵𝒓 (𝒈)</a:t>
              </a:r>
              <a:endParaRPr lang="es-CO" sz="1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624417</xdr:colOff>
      <xdr:row>72</xdr:row>
      <xdr:rowOff>285751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8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𝑼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  <m:r>
                        <a:rPr lang="es-CO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</m:d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( 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𝒌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CO" sz="1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𝟐</m:t>
                  </m:r>
                </m:oMath>
              </a14:m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800-00002B000000}"/>
                </a:ext>
              </a:extLst>
            </xdr:cNvPr>
            <xdr:cNvSpPr txBox="1"/>
          </xdr:nvSpPr>
          <xdr:spPr>
            <a:xfrm>
              <a:off x="9396942" y="30203776"/>
              <a:ext cx="1524000" cy="210507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𝑼 ( 𝒎 𝒄𝒕 )  ( 𝒌=𝟐</a:t>
              </a:r>
              <a:r>
                <a:rPr lang="es-CO" sz="1400" b="1" i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</mc:Fallback>
    </mc:AlternateContent>
    <xdr:clientData/>
  </xdr:oneCellAnchor>
  <xdr:oneCellAnchor>
    <xdr:from>
      <xdr:col>9</xdr:col>
      <xdr:colOff>603252</xdr:colOff>
      <xdr:row>73</xdr:row>
      <xdr:rowOff>84667</xdr:rowOff>
    </xdr:from>
    <xdr:ext cx="465666" cy="219163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/>
      </xdr:nvSpPr>
      <xdr:spPr>
        <a:xfrm>
          <a:off x="10299702" y="30517042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9</xdr:col>
      <xdr:colOff>571499</xdr:colOff>
      <xdr:row>74</xdr:row>
      <xdr:rowOff>116416</xdr:rowOff>
    </xdr:from>
    <xdr:ext cx="359835" cy="219163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/>
      </xdr:nvSpPr>
      <xdr:spPr>
        <a:xfrm>
          <a:off x="10267949" y="30986941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6</xdr:col>
      <xdr:colOff>275167</xdr:colOff>
      <xdr:row>73</xdr:row>
      <xdr:rowOff>148166</xdr:rowOff>
    </xdr:from>
    <xdr:ext cx="465666" cy="219163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/>
      </xdr:nvSpPr>
      <xdr:spPr>
        <a:xfrm>
          <a:off x="6371167" y="30580541"/>
          <a:ext cx="46566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(mg)</a:t>
          </a:r>
          <a:endParaRPr lang="es-CO" sz="1200" b="1" i="0"/>
        </a:p>
      </xdr:txBody>
    </xdr:sp>
    <xdr:clientData/>
  </xdr:oneCellAnchor>
  <xdr:oneCellAnchor>
    <xdr:from>
      <xdr:col>6</xdr:col>
      <xdr:colOff>328083</xdr:colOff>
      <xdr:row>74</xdr:row>
      <xdr:rowOff>84667</xdr:rowOff>
    </xdr:from>
    <xdr:ext cx="359835" cy="219163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6424083" y="30955192"/>
          <a:ext cx="359835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400" b="1" i="1"/>
            <a:t>(g)</a:t>
          </a:r>
          <a:endParaRPr lang="es-CO" sz="1200" b="1" i="0"/>
        </a:p>
      </xdr:txBody>
    </xdr:sp>
    <xdr:clientData/>
  </xdr:oneCellAnchor>
  <xdr:oneCellAnchor>
    <xdr:from>
      <xdr:col>3</xdr:col>
      <xdr:colOff>560916</xdr:colOff>
      <xdr:row>71</xdr:row>
      <xdr:rowOff>74084</xdr:rowOff>
    </xdr:from>
    <xdr:ext cx="1524000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800-000030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1000-000016000000}"/>
                </a:ext>
              </a:extLst>
            </xdr:cNvPr>
            <xdr:cNvSpPr txBox="1"/>
          </xdr:nvSpPr>
          <xdr:spPr>
            <a:xfrm>
              <a:off x="3246966" y="29553959"/>
              <a:ext cx="152400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 𝒎 𝒄𝒕 )   </a:t>
              </a:r>
              <a:endParaRPr lang="es-CO" sz="1400" b="1" i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411956</xdr:colOff>
      <xdr:row>70</xdr:row>
      <xdr:rowOff>406003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/>
      </xdr:nvSpPr>
      <xdr:spPr>
        <a:xfrm>
          <a:off x="7555706" y="294572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105834</xdr:colOff>
      <xdr:row>77</xdr:row>
      <xdr:rowOff>200024</xdr:rowOff>
    </xdr:from>
    <xdr:to>
      <xdr:col>4</xdr:col>
      <xdr:colOff>857251</xdr:colOff>
      <xdr:row>83</xdr:row>
      <xdr:rowOff>43391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785812</xdr:colOff>
      <xdr:row>62</xdr:row>
      <xdr:rowOff>297656</xdr:rowOff>
    </xdr:from>
    <xdr:to>
      <xdr:col>11</xdr:col>
      <xdr:colOff>682623</xdr:colOff>
      <xdr:row>64</xdr:row>
      <xdr:rowOff>570706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158750</xdr:colOff>
      <xdr:row>82</xdr:row>
      <xdr:rowOff>317501</xdr:rowOff>
    </xdr:from>
    <xdr:ext cx="3349626" cy="809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00000000-0008-0000-0800-000033000000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𝑇𝑢𝑟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 1° 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𝑁𝑖𝑣𝑒𝑙</m:t>
                  </m:r>
                  <m:r>
                    <a:rPr lang="es-CO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CO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es-CO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num>
                    <m:den>
                      <m:f>
                        <m:fPr>
                          <m:ctrlP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𝑈</m:t>
                          </m:r>
                        </m:num>
                        <m:den>
                          <m:r>
                            <a:rPr lang="es-MX" sz="14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𝑘</m:t>
                          </m:r>
                        </m:den>
                      </m:f>
                    </m:den>
                  </m:f>
                  <m:r>
                    <a:rPr lang="es-MX" sz="1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𝐼𝑛𝑠𝑡𝑟𝑢𝑚𝑒𝑛𝑡𝑜</m:t>
                      </m:r>
                    </m:num>
                    <m:den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𝑢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MX" sz="1400" b="0" i="1">
                          <a:latin typeface="Cambria Math" panose="02040503050406030204" pitchFamily="18" charset="0"/>
                        </a:rPr>
                        <m:t>𝑃𝑎𝑡𝑟𝑜𝑛</m:t>
                      </m:r>
                    </m:den>
                  </m:f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s-MX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&gt;=</m:t>
                  </m:r>
                </m:oMath>
              </a14:m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26020EEC-E98E-40CC-82D7-408546673CD7}"/>
                </a:ext>
              </a:extLst>
            </xdr:cNvPr>
            <xdr:cNvSpPr txBox="1"/>
          </xdr:nvSpPr>
          <xdr:spPr>
            <a:xfrm>
              <a:off x="7791450" y="34753551"/>
              <a:ext cx="3349626" cy="809624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 𝑇𝑢𝑟 1° 𝑁𝑖𝑣𝑒𝑙</a:t>
              </a:r>
              <a:r>
                <a:rPr lang="es-CO" sz="1400" i="0">
                  <a:latin typeface="Cambria Math" panose="02040503050406030204" pitchFamily="18" charset="0"/>
                </a:rPr>
                <a:t>=</a:t>
              </a:r>
              <a:r>
                <a:rPr lang="es-CO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𝑈/𝑘</a:t>
              </a:r>
              <a:r>
                <a:rPr lang="es-CO" sz="14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MX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400" i="0">
                  <a:latin typeface="Cambria Math" panose="02040503050406030204" pitchFamily="18" charset="0"/>
                </a:rPr>
                <a:t>(</a:t>
              </a:r>
              <a:r>
                <a:rPr lang="es-MX" sz="1400" b="0" i="0">
                  <a:latin typeface="Cambria Math" panose="02040503050406030204" pitchFamily="18" charset="0"/>
                </a:rPr>
                <a:t>𝑢 𝐼𝑛𝑠𝑡𝑟𝑢𝑚𝑒𝑛𝑡𝑜</a:t>
              </a:r>
              <a:r>
                <a:rPr lang="es-CO" sz="1400" b="0" i="0">
                  <a:latin typeface="Cambria Math" panose="02040503050406030204" pitchFamily="18" charset="0"/>
                </a:rPr>
                <a:t>)/(</a:t>
              </a:r>
              <a:r>
                <a:rPr lang="es-MX" sz="1400" b="0" i="0">
                  <a:latin typeface="Cambria Math" panose="02040503050406030204" pitchFamily="18" charset="0"/>
                </a:rPr>
                <a:t>𝑢 𝑃𝑎𝑡𝑟𝑜𝑛</a:t>
              </a:r>
              <a:r>
                <a:rPr lang="es-CO" sz="1400" b="0" i="0">
                  <a:latin typeface="Cambria Math" panose="02040503050406030204" pitchFamily="18" charset="0"/>
                </a:rPr>
                <a:t>)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&gt;=</a:t>
              </a:r>
              <a:r>
                <a:rPr lang="es-CO" sz="1400">
                  <a:latin typeface="Arial" panose="020B0604020202020204" pitchFamily="34" charset="0"/>
                  <a:cs typeface="Arial" panose="020B0604020202020204" pitchFamily="34" charset="0"/>
                </a:rPr>
                <a:t> 3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U122"/>
  <sheetViews>
    <sheetView showGridLines="0" tabSelected="1" view="pageBreakPreview" zoomScale="60" zoomScaleNormal="60" workbookViewId="0">
      <selection activeCell="C1" sqref="C1:M1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68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319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4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853" t="s">
        <v>275</v>
      </c>
      <c r="F20" s="85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660" t="s">
        <v>127</v>
      </c>
      <c r="B26" s="661">
        <v>2</v>
      </c>
      <c r="C26" s="751" t="s">
        <v>24</v>
      </c>
      <c r="D26" s="752"/>
      <c r="E26" s="48"/>
      <c r="F26" s="48"/>
      <c r="H26" s="6"/>
    </row>
    <row r="27" spans="1:11" s="49" customFormat="1" ht="31.5" customHeight="1" thickBot="1" x14ac:dyDescent="0.25">
      <c r="A27" s="839" t="s">
        <v>25</v>
      </c>
      <c r="B27" s="840"/>
      <c r="C27" s="662">
        <v>1</v>
      </c>
      <c r="D27" s="663">
        <v>2</v>
      </c>
      <c r="E27" s="48"/>
      <c r="F27" s="48"/>
      <c r="G27" s="855" t="s">
        <v>216</v>
      </c>
      <c r="H27" s="856"/>
      <c r="I27" s="49" t="s">
        <v>264</v>
      </c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664">
        <v>1</v>
      </c>
      <c r="D39" s="665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275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441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736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737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738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739"/>
      <c r="H61" s="124" t="s">
        <v>244</v>
      </c>
      <c r="I61" s="400" t="e">
        <f>MAX(C59,C62,C66:C67)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737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738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740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73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737" t="e">
        <f>(C66/$G$69)^2</f>
        <v>#N/A</v>
      </c>
      <c r="H66" s="123"/>
      <c r="I66" s="741" t="s">
        <v>323</v>
      </c>
      <c r="J66" s="742" t="s">
        <v>324</v>
      </c>
      <c r="K66" s="743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737" t="e">
        <f>(C67/$G$69)^2</f>
        <v>#N/A</v>
      </c>
      <c r="H67" s="123"/>
      <c r="I67" s="744" t="e">
        <f>G69^4/((C59^4/F59)+(C62^4/F62)+(C66^4/F66)+(C67^4/F67))</f>
        <v>#DIV/0!</v>
      </c>
      <c r="J67" s="745" t="e">
        <f>TINV(0.05,I67)</f>
        <v>#DIV/0!</v>
      </c>
      <c r="K67" s="746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53"/>
      <c r="B68" s="53"/>
      <c r="G68" s="737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320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680" t="s">
        <v>302</v>
      </c>
      <c r="G79" s="681" t="s">
        <v>301</v>
      </c>
      <c r="H79" s="682" t="s">
        <v>299</v>
      </c>
      <c r="I79" s="683" t="s">
        <v>300</v>
      </c>
      <c r="J79" s="756" t="s">
        <v>303</v>
      </c>
      <c r="K79" s="757"/>
      <c r="L79" s="757"/>
      <c r="M79" s="758"/>
    </row>
    <row r="80" spans="1:21" s="104" customFormat="1" ht="30" customHeight="1" x14ac:dyDescent="0.2">
      <c r="A80" s="346"/>
      <c r="B80" s="340"/>
      <c r="C80" s="340"/>
      <c r="D80" s="340"/>
      <c r="E80" s="340"/>
      <c r="F80" s="684"/>
      <c r="G80" s="685"/>
      <c r="H80" s="686">
        <v>0.1</v>
      </c>
      <c r="I80" s="687">
        <v>-0.1</v>
      </c>
      <c r="J80" s="759"/>
      <c r="K80" s="760"/>
      <c r="L80" s="760"/>
      <c r="M80" s="761"/>
    </row>
    <row r="81" spans="1:21" s="108" customFormat="1" ht="35.1" customHeight="1" x14ac:dyDescent="0.2">
      <c r="A81" s="340"/>
      <c r="B81" s="340"/>
      <c r="C81" s="340"/>
      <c r="D81" s="340"/>
      <c r="E81" s="340"/>
      <c r="F81" s="688"/>
      <c r="G81" s="689"/>
      <c r="H81" s="686">
        <f>H80</f>
        <v>0.1</v>
      </c>
      <c r="I81" s="687">
        <f>I80</f>
        <v>-0.1</v>
      </c>
      <c r="J81" s="759"/>
      <c r="K81" s="760"/>
      <c r="L81" s="760"/>
      <c r="M81" s="761"/>
    </row>
    <row r="82" spans="1:21" s="103" customFormat="1" ht="38.25" customHeight="1" thickBot="1" x14ac:dyDescent="0.25">
      <c r="A82" s="340"/>
      <c r="B82" s="340"/>
      <c r="C82" s="340"/>
      <c r="D82" s="340"/>
      <c r="E82" s="340"/>
      <c r="F82" s="690"/>
      <c r="G82" s="691"/>
      <c r="H82" s="692">
        <f>H80</f>
        <v>0.1</v>
      </c>
      <c r="I82" s="693">
        <f>I80</f>
        <v>-0.1</v>
      </c>
      <c r="J82" s="762"/>
      <c r="K82" s="763"/>
      <c r="L82" s="763"/>
      <c r="M82" s="764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31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password="CF5C" sheet="1" objects="1" scenarios="1"/>
  <mergeCells count="65">
    <mergeCell ref="A13:B13"/>
    <mergeCell ref="F13:I13"/>
    <mergeCell ref="A1:B1"/>
    <mergeCell ref="C1:M1"/>
    <mergeCell ref="G3:H4"/>
    <mergeCell ref="A6:D6"/>
    <mergeCell ref="F6:I6"/>
    <mergeCell ref="F9:G9"/>
    <mergeCell ref="A10:B10"/>
    <mergeCell ref="F10:G10"/>
    <mergeCell ref="A11:B11"/>
    <mergeCell ref="F11:G11"/>
    <mergeCell ref="A12:B12"/>
    <mergeCell ref="A27:B27"/>
    <mergeCell ref="G28:H28"/>
    <mergeCell ref="A14:B14"/>
    <mergeCell ref="A15:B15"/>
    <mergeCell ref="A18:J18"/>
    <mergeCell ref="J19:J20"/>
    <mergeCell ref="A20:B20"/>
    <mergeCell ref="E20:F20"/>
    <mergeCell ref="A22:J22"/>
    <mergeCell ref="C24:D24"/>
    <mergeCell ref="F24:G24"/>
    <mergeCell ref="G27:H27"/>
    <mergeCell ref="A16:B16"/>
    <mergeCell ref="C16:D16"/>
    <mergeCell ref="F19:G19"/>
    <mergeCell ref="A28:A31"/>
    <mergeCell ref="C33:D33"/>
    <mergeCell ref="F33:G33"/>
    <mergeCell ref="A36:J36"/>
    <mergeCell ref="H38:J38"/>
    <mergeCell ref="B38:D38"/>
    <mergeCell ref="H60:M60"/>
    <mergeCell ref="H39:J42"/>
    <mergeCell ref="A46:J46"/>
    <mergeCell ref="C47:E47"/>
    <mergeCell ref="G48:H48"/>
    <mergeCell ref="A49:B49"/>
    <mergeCell ref="G49:H49"/>
    <mergeCell ref="A47:B48"/>
    <mergeCell ref="A52:J52"/>
    <mergeCell ref="D53:E53"/>
    <mergeCell ref="H53:I53"/>
    <mergeCell ref="A56:J56"/>
    <mergeCell ref="A58:B58"/>
    <mergeCell ref="C58:D58"/>
    <mergeCell ref="E58:F58"/>
    <mergeCell ref="F83:G84"/>
    <mergeCell ref="C26:D26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  <mergeCell ref="A50:B50"/>
    <mergeCell ref="G50:H50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(2021-05-24)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0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0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0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0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U122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%'!X130</f>
        <v>0.3</v>
      </c>
      <c r="I80" s="350">
        <f>-H80</f>
        <v>-0.3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0.3</v>
      </c>
      <c r="I81" s="350">
        <f>I80</f>
        <v>-0.3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0.3</v>
      </c>
      <c r="I82" s="356">
        <f>I80</f>
        <v>-0.3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5zfeh5mtEs1ei8niQgcNeKha4bvTmFXk7/P/tnb/Ly6g53TIo3v+LZoCgFhOwQywhp0NwKQiuiCaGrBjez59aA==" saltValue="n0fWkrYQlTz+br/wQg54qQ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9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9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9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9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9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9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U123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%'!X131</f>
        <v>0.5</v>
      </c>
      <c r="I80" s="350">
        <f>-H80</f>
        <v>-0.5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0.5</v>
      </c>
      <c r="I81" s="350">
        <f>I80</f>
        <v>-0.5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0.5</v>
      </c>
      <c r="I82" s="356">
        <f>I80</f>
        <v>-0.5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  <c r="O86" s="49"/>
      <c r="P86" s="49"/>
      <c r="Q86" s="49"/>
      <c r="R86" s="49"/>
      <c r="S86" s="49"/>
      <c r="T86" s="49"/>
      <c r="U86" s="49"/>
    </row>
    <row r="87" spans="1:21" s="103" customFormat="1" ht="35.1" customHeight="1" x14ac:dyDescent="0.2">
      <c r="G87" s="48"/>
      <c r="H87" s="48"/>
      <c r="I87" s="48"/>
      <c r="J87" s="48"/>
    </row>
    <row r="88" spans="1:21" s="104" customFormat="1" ht="9.9499999999999993" customHeight="1" x14ac:dyDescent="0.2">
      <c r="A88" s="106"/>
      <c r="B88" s="103"/>
      <c r="C88" s="103"/>
      <c r="D88" s="103"/>
      <c r="E88" s="103"/>
      <c r="F88" s="103"/>
      <c r="G88" s="48"/>
      <c r="H88" s="48"/>
    </row>
    <row r="89" spans="1:21" s="108" customFormat="1" ht="35.1" customHeight="1" x14ac:dyDescent="0.2">
      <c r="B89" s="103"/>
      <c r="C89" s="103"/>
      <c r="D89" s="103"/>
      <c r="E89" s="103"/>
      <c r="F89" s="103"/>
      <c r="G89" s="48"/>
      <c r="H89" s="48"/>
    </row>
    <row r="90" spans="1:21" s="103" customFormat="1" ht="61.5" customHeight="1" x14ac:dyDescent="0.2"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G92" s="108"/>
      <c r="H92" s="108"/>
      <c r="I92" s="108"/>
      <c r="J92" s="108"/>
      <c r="K92" s="105"/>
    </row>
    <row r="93" spans="1:21" s="103" customFormat="1" ht="35.1" customHeight="1" x14ac:dyDescent="0.2">
      <c r="F93" s="104"/>
      <c r="K93" s="105"/>
    </row>
    <row r="94" spans="1:21" s="103" customFormat="1" ht="50.1" customHeight="1" x14ac:dyDescent="0.2"/>
    <row r="95" spans="1:21" s="103" customFormat="1" ht="57.75" customHeight="1" x14ac:dyDescent="0.2">
      <c r="C95" s="109"/>
      <c r="D95" s="109"/>
      <c r="E95" s="109"/>
    </row>
    <row r="96" spans="1:21" s="103" customFormat="1" ht="35.1" customHeight="1" x14ac:dyDescent="0.2"/>
    <row r="97" spans="1:12" s="103" customFormat="1" ht="35.1" customHeight="1" x14ac:dyDescent="0.2">
      <c r="F97" s="105"/>
      <c r="G97" s="105"/>
      <c r="H97" s="105"/>
      <c r="I97" s="105"/>
      <c r="J97" s="105"/>
    </row>
    <row r="98" spans="1:12" s="103" customFormat="1" ht="35.1" customHeight="1" x14ac:dyDescent="0.2"/>
    <row r="99" spans="1:12" s="103" customFormat="1" ht="50.1" customHeight="1" x14ac:dyDescent="0.2">
      <c r="J99" s="48"/>
    </row>
    <row r="100" spans="1:12" s="103" customFormat="1" ht="55.5" customHeight="1" x14ac:dyDescent="0.2">
      <c r="J100" s="108"/>
    </row>
    <row r="101" spans="1:12" s="103" customFormat="1" ht="50.1" customHeight="1" x14ac:dyDescent="0.2">
      <c r="J101" s="108"/>
    </row>
    <row r="102" spans="1:12" s="104" customFormat="1" ht="31.5" customHeight="1" x14ac:dyDescent="0.2"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35.1" customHeight="1" x14ac:dyDescent="0.2">
      <c r="G104" s="108"/>
      <c r="H104" s="108"/>
      <c r="I104" s="108"/>
      <c r="J104" s="108"/>
    </row>
    <row r="105" spans="1:12" s="103" customFormat="1" ht="9.9499999999999993" customHeight="1" x14ac:dyDescent="0.2">
      <c r="G105" s="105"/>
      <c r="H105" s="105"/>
      <c r="I105" s="105"/>
      <c r="J105" s="105"/>
    </row>
    <row r="106" spans="1:12" s="103" customFormat="1" ht="35.1" customHeight="1" x14ac:dyDescent="0.2">
      <c r="J106" s="105"/>
      <c r="K106" s="105"/>
      <c r="L106" s="105"/>
    </row>
    <row r="107" spans="1:12" s="47" customFormat="1" ht="15" customHeight="1" x14ac:dyDescent="0.2">
      <c r="A107" s="48"/>
      <c r="G107" s="48"/>
      <c r="H107" s="48"/>
      <c r="I107" s="48"/>
      <c r="J107" s="48"/>
      <c r="K107" s="49"/>
    </row>
    <row r="108" spans="1:12" s="49" customFormat="1" ht="31.5" customHeigh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2" s="49" customFormat="1" ht="31.5" customHeight="1" x14ac:dyDescent="0.2"/>
    <row r="110" spans="1:12" s="49" customFormat="1" ht="31.5" customHeight="1" x14ac:dyDescent="0.2"/>
    <row r="111" spans="1:12" s="49" customFormat="1" ht="52.5" customHeight="1" x14ac:dyDescent="0.2"/>
    <row r="112" spans="1:12" s="49" customFormat="1" ht="31.5" customHeight="1" x14ac:dyDescent="0.2">
      <c r="K112" s="8"/>
    </row>
    <row r="113" spans="2:11" s="49" customFormat="1" ht="31.5" customHeight="1" x14ac:dyDescent="0.2">
      <c r="K113" s="8"/>
    </row>
    <row r="114" spans="2:11" ht="31.5" customHeight="1" x14ac:dyDescent="0.2">
      <c r="G114" s="75"/>
    </row>
    <row r="115" spans="2:11" ht="51" customHeight="1" x14ac:dyDescent="0.2"/>
    <row r="117" spans="2:11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1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1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1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1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1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2:11" ht="31.5" customHeight="1" x14ac:dyDescent="0.2">
      <c r="B123" s="28"/>
      <c r="C123" s="28"/>
      <c r="D123" s="28"/>
      <c r="E123" s="28"/>
      <c r="F123" s="28"/>
      <c r="G123" s="28"/>
      <c r="H123" s="28"/>
      <c r="I123" s="28"/>
      <c r="J123" s="28"/>
    </row>
  </sheetData>
  <sheetProtection algorithmName="SHA-512" hashValue="0030Ak3yCv1hPAbmrrjzjHYnGZsAolpiqa6A6dEghQXKjqDtplRVHcJiO3jJwjWfULd1ylh82OI5KqO6zDv2zg==" saltValue="3bUloPZLA+krFZM5nBOkAQ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2" manualBreakCount="2">
    <brk id="34" max="12" man="1"/>
    <brk id="85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A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0A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A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A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A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A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U138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65">
        <f>'DATOS %'!X133</f>
        <v>1</v>
      </c>
      <c r="I80" s="366">
        <f>-H80</f>
        <v>-1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65">
        <f>H80</f>
        <v>1</v>
      </c>
      <c r="I81" s="366">
        <f>I80</f>
        <v>-1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67">
        <f>H80</f>
        <v>1</v>
      </c>
      <c r="I82" s="368">
        <f>I80</f>
        <v>-1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</row>
    <row r="87" spans="1:21" s="104" customFormat="1" ht="35.1" customHeight="1" x14ac:dyDescent="0.2">
      <c r="A87" s="106"/>
      <c r="B87" s="103"/>
      <c r="C87" s="103"/>
      <c r="D87" s="103"/>
      <c r="E87" s="103"/>
      <c r="F87" s="103"/>
      <c r="G87" s="48"/>
      <c r="H87" s="48"/>
      <c r="I87" s="48"/>
      <c r="J87" s="103"/>
      <c r="K87" s="103"/>
      <c r="L87" s="103"/>
      <c r="M87" s="103"/>
    </row>
    <row r="88" spans="1:21" s="108" customFormat="1" ht="35.1" customHeight="1" x14ac:dyDescent="0.2">
      <c r="B88" s="103"/>
      <c r="C88" s="103"/>
      <c r="D88" s="103"/>
      <c r="F88" s="103"/>
      <c r="G88" s="48"/>
      <c r="H88" s="48"/>
      <c r="I88" s="48"/>
      <c r="J88" s="103"/>
      <c r="K88" s="103"/>
      <c r="L88" s="103"/>
      <c r="M88" s="103"/>
    </row>
    <row r="89" spans="1:21" s="103" customFormat="1" ht="35.1" customHeight="1" x14ac:dyDescent="0.2">
      <c r="G89" s="48"/>
      <c r="H89" s="48"/>
      <c r="I89" s="48"/>
    </row>
    <row r="90" spans="1:21" s="103" customFormat="1" ht="35.1" customHeight="1" x14ac:dyDescent="0.2">
      <c r="G90" s="48"/>
      <c r="H90" s="48"/>
      <c r="I90" s="48"/>
    </row>
    <row r="91" spans="1:21" s="103" customFormat="1" ht="35.1" customHeight="1" x14ac:dyDescent="0.2">
      <c r="G91" s="108"/>
      <c r="H91" s="108"/>
      <c r="I91" s="108"/>
      <c r="J91" s="320"/>
      <c r="K91" s="321"/>
      <c r="L91" s="319"/>
      <c r="M91" s="319"/>
    </row>
    <row r="92" spans="1:21" s="103" customFormat="1" ht="35.1" customHeight="1" x14ac:dyDescent="0.2">
      <c r="G92" s="48"/>
      <c r="H92" s="48"/>
      <c r="I92" s="48"/>
      <c r="J92" s="48"/>
      <c r="O92" s="49"/>
      <c r="P92" s="49"/>
      <c r="Q92" s="49"/>
      <c r="R92" s="49"/>
      <c r="S92" s="49"/>
      <c r="T92" s="49"/>
      <c r="U92" s="49"/>
    </row>
    <row r="93" spans="1:21" s="103" customFormat="1" ht="35.1" customHeight="1" x14ac:dyDescent="0.2">
      <c r="G93" s="48"/>
      <c r="H93" s="48"/>
      <c r="I93" s="48"/>
      <c r="O93" s="49"/>
      <c r="P93" s="49"/>
      <c r="Q93" s="49"/>
      <c r="R93" s="49"/>
      <c r="S93" s="49"/>
      <c r="T93" s="49"/>
      <c r="U93" s="49"/>
    </row>
    <row r="94" spans="1:21" s="103" customFormat="1" ht="35.1" customHeight="1" x14ac:dyDescent="0.2">
      <c r="G94" s="48"/>
      <c r="H94" s="48"/>
      <c r="I94" s="48"/>
      <c r="O94" s="49"/>
      <c r="P94" s="49"/>
    </row>
    <row r="95" spans="1:21" s="104" customFormat="1" ht="35.1" customHeight="1" x14ac:dyDescent="0.2">
      <c r="A95" s="106"/>
      <c r="B95" s="103"/>
      <c r="C95" s="103"/>
      <c r="D95" s="103"/>
      <c r="E95" s="103"/>
      <c r="F95" s="103"/>
      <c r="G95" s="48"/>
      <c r="H95" s="48"/>
      <c r="I95" s="48"/>
      <c r="J95" s="103"/>
      <c r="K95" s="103"/>
      <c r="L95" s="103"/>
      <c r="M95" s="103"/>
      <c r="N95" s="103"/>
      <c r="O95" s="49"/>
      <c r="P95" s="49"/>
    </row>
    <row r="96" spans="1:21" s="108" customFormat="1" ht="35.1" customHeight="1" x14ac:dyDescent="0.2">
      <c r="B96" s="103"/>
      <c r="C96" s="103"/>
      <c r="D96" s="103"/>
      <c r="E96" s="103"/>
      <c r="F96" s="103"/>
      <c r="G96" s="48"/>
      <c r="H96" s="48"/>
      <c r="I96" s="48"/>
      <c r="J96" s="103"/>
      <c r="K96" s="103"/>
      <c r="L96" s="103"/>
      <c r="M96" s="103"/>
      <c r="N96" s="103"/>
      <c r="O96" s="49"/>
      <c r="P96" s="49"/>
    </row>
    <row r="97" spans="1:21" s="103" customFormat="1" ht="35.1" customHeight="1" x14ac:dyDescent="0.2">
      <c r="G97" s="48"/>
      <c r="H97" s="48"/>
      <c r="I97" s="48"/>
      <c r="O97" s="49"/>
      <c r="P97" s="49"/>
    </row>
    <row r="98" spans="1:21" s="103" customFormat="1" ht="35.1" customHeight="1" x14ac:dyDescent="0.2">
      <c r="G98" s="48"/>
      <c r="H98" s="48"/>
      <c r="I98" s="48"/>
      <c r="O98" s="49"/>
      <c r="P98" s="49"/>
    </row>
    <row r="99" spans="1:21" s="103" customFormat="1" ht="35.1" customHeight="1" x14ac:dyDescent="0.2">
      <c r="G99" s="108"/>
      <c r="H99" s="108"/>
      <c r="I99" s="108"/>
      <c r="J99" s="320"/>
      <c r="K99" s="321"/>
      <c r="L99" s="319"/>
      <c r="M99" s="319"/>
    </row>
    <row r="100" spans="1:21" s="103" customFormat="1" ht="35.1" customHeight="1" x14ac:dyDescent="0.2">
      <c r="F100" s="104"/>
      <c r="K100" s="105"/>
    </row>
    <row r="101" spans="1:21" s="103" customFormat="1" ht="35.1" customHeight="1" x14ac:dyDescent="0.2">
      <c r="G101" s="48"/>
      <c r="H101" s="48"/>
      <c r="I101" s="48"/>
      <c r="J101" s="48"/>
      <c r="O101" s="49"/>
      <c r="P101" s="49"/>
      <c r="Q101" s="49"/>
      <c r="R101" s="49"/>
      <c r="S101" s="49"/>
      <c r="T101" s="49"/>
      <c r="U101" s="49"/>
    </row>
    <row r="102" spans="1:21" s="103" customFormat="1" ht="35.1" customHeight="1" x14ac:dyDescent="0.2">
      <c r="G102" s="48"/>
      <c r="H102" s="48"/>
      <c r="I102" s="48"/>
      <c r="J102" s="48"/>
    </row>
    <row r="103" spans="1:21" s="104" customFormat="1" ht="9.9499999999999993" customHeight="1" x14ac:dyDescent="0.2">
      <c r="A103" s="106"/>
      <c r="B103" s="103"/>
      <c r="C103" s="103"/>
      <c r="D103" s="103"/>
      <c r="E103" s="103"/>
      <c r="F103" s="103"/>
      <c r="G103" s="48"/>
      <c r="H103" s="48"/>
    </row>
    <row r="104" spans="1:21" s="108" customFormat="1" ht="35.1" customHeight="1" x14ac:dyDescent="0.2">
      <c r="B104" s="103"/>
      <c r="C104" s="103"/>
      <c r="D104" s="103"/>
      <c r="E104" s="103"/>
      <c r="F104" s="103"/>
      <c r="G104" s="48"/>
      <c r="H104" s="48"/>
    </row>
    <row r="105" spans="1:21" s="103" customFormat="1" ht="61.5" customHeight="1" x14ac:dyDescent="0.2">
      <c r="H105" s="108"/>
      <c r="I105" s="108"/>
      <c r="J105" s="108"/>
      <c r="K105" s="105"/>
    </row>
    <row r="106" spans="1:21" s="103" customFormat="1" ht="35.1" customHeight="1" x14ac:dyDescent="0.2">
      <c r="G106" s="108"/>
      <c r="H106" s="108"/>
      <c r="I106" s="108"/>
      <c r="J106" s="108"/>
      <c r="K106" s="105"/>
    </row>
    <row r="107" spans="1:21" s="103" customFormat="1" ht="35.1" customHeight="1" x14ac:dyDescent="0.2">
      <c r="G107" s="108"/>
      <c r="H107" s="108"/>
      <c r="I107" s="108"/>
      <c r="J107" s="108"/>
      <c r="K107" s="105"/>
    </row>
    <row r="108" spans="1:21" s="103" customFormat="1" ht="35.1" customHeight="1" x14ac:dyDescent="0.2">
      <c r="F108" s="104"/>
      <c r="K108" s="105"/>
    </row>
    <row r="109" spans="1:21" s="103" customFormat="1" ht="50.1" customHeight="1" x14ac:dyDescent="0.2"/>
    <row r="110" spans="1:21" s="103" customFormat="1" ht="57.75" customHeight="1" x14ac:dyDescent="0.2">
      <c r="C110" s="109"/>
      <c r="D110" s="109"/>
      <c r="E110" s="109"/>
    </row>
    <row r="111" spans="1:21" s="103" customFormat="1" ht="35.1" customHeight="1" x14ac:dyDescent="0.2"/>
    <row r="112" spans="1:21" s="103" customFormat="1" ht="35.1" customHeight="1" x14ac:dyDescent="0.2">
      <c r="F112" s="105"/>
      <c r="G112" s="105"/>
      <c r="H112" s="105"/>
      <c r="I112" s="105"/>
      <c r="J112" s="105"/>
    </row>
    <row r="113" spans="1:12" s="103" customFormat="1" ht="35.1" customHeight="1" x14ac:dyDescent="0.2"/>
    <row r="114" spans="1:12" s="103" customFormat="1" ht="50.1" customHeight="1" x14ac:dyDescent="0.2">
      <c r="J114" s="48"/>
    </row>
    <row r="115" spans="1:12" s="103" customFormat="1" ht="55.5" customHeight="1" x14ac:dyDescent="0.2">
      <c r="J115" s="108"/>
    </row>
    <row r="116" spans="1:12" s="103" customFormat="1" ht="50.1" customHeight="1" x14ac:dyDescent="0.2">
      <c r="J116" s="108"/>
    </row>
    <row r="117" spans="1:12" s="104" customFormat="1" ht="31.5" customHeight="1" x14ac:dyDescent="0.2">
      <c r="J117" s="108"/>
    </row>
    <row r="118" spans="1:12" s="103" customFormat="1" ht="35.1" customHeight="1" x14ac:dyDescent="0.2">
      <c r="G118" s="108"/>
      <c r="H118" s="108"/>
      <c r="I118" s="108"/>
      <c r="J118" s="108"/>
    </row>
    <row r="119" spans="1:12" s="103" customFormat="1" ht="35.1" customHeight="1" x14ac:dyDescent="0.2">
      <c r="G119" s="108"/>
      <c r="H119" s="108"/>
      <c r="I119" s="108"/>
      <c r="J119" s="108"/>
    </row>
    <row r="120" spans="1:12" s="103" customFormat="1" ht="9.9499999999999993" customHeight="1" x14ac:dyDescent="0.2">
      <c r="G120" s="105"/>
      <c r="H120" s="105"/>
      <c r="I120" s="105"/>
      <c r="J120" s="105"/>
    </row>
    <row r="121" spans="1:12" s="103" customFormat="1" ht="35.1" customHeight="1" x14ac:dyDescent="0.2">
      <c r="J121" s="105"/>
      <c r="K121" s="105"/>
      <c r="L121" s="105"/>
    </row>
    <row r="122" spans="1:12" s="47" customFormat="1" ht="15" customHeight="1" x14ac:dyDescent="0.2">
      <c r="A122" s="48"/>
      <c r="G122" s="48"/>
      <c r="H122" s="48"/>
      <c r="I122" s="48"/>
      <c r="J122" s="48"/>
      <c r="K122" s="49"/>
    </row>
    <row r="123" spans="1:12" s="49" customFormat="1" ht="31.5" customHeigh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2" s="49" customFormat="1" ht="31.5" customHeight="1" x14ac:dyDescent="0.2"/>
    <row r="125" spans="1:12" s="49" customFormat="1" ht="31.5" customHeight="1" x14ac:dyDescent="0.2"/>
    <row r="126" spans="1:12" s="49" customFormat="1" ht="52.5" customHeight="1" x14ac:dyDescent="0.2"/>
    <row r="127" spans="1:12" s="49" customFormat="1" ht="31.5" customHeight="1" x14ac:dyDescent="0.2">
      <c r="K127" s="8"/>
    </row>
    <row r="128" spans="1:12" s="49" customFormat="1" ht="31.5" customHeight="1" x14ac:dyDescent="0.2">
      <c r="K128" s="8"/>
    </row>
    <row r="129" spans="2:10" ht="31.5" customHeight="1" x14ac:dyDescent="0.2">
      <c r="G129" s="75"/>
    </row>
    <row r="130" spans="2:10" ht="51" customHeight="1" x14ac:dyDescent="0.2"/>
    <row r="132" spans="2:10" ht="31.5" customHeight="1" x14ac:dyDescent="0.2"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2:10" ht="31.5" customHeight="1" x14ac:dyDescent="0.2"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2:10" ht="31.5" customHeight="1" x14ac:dyDescent="0.2"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2:10" ht="31.5" customHeight="1" x14ac:dyDescent="0.2"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2:10" ht="31.5" customHeight="1" x14ac:dyDescent="0.2"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2:10" ht="31.5" customHeight="1" x14ac:dyDescent="0.2"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2:10" ht="31.5" customHeight="1" x14ac:dyDescent="0.2">
      <c r="B138" s="28"/>
      <c r="C138" s="28"/>
      <c r="D138" s="28"/>
      <c r="E138" s="28"/>
      <c r="F138" s="28"/>
      <c r="G138" s="28"/>
      <c r="H138" s="28"/>
      <c r="I138" s="28"/>
      <c r="J138" s="28"/>
    </row>
  </sheetData>
  <sheetProtection algorithmName="SHA-512" hashValue="2sNNrd14XNCX3MftOqqB/uqVb6fl9QulrO/tAyYTq75XULZDvKRz8xTkZhT2pVssTabzZUa4/tLeitlAzP/b2Q==" saltValue="1r7AMdnCMmbEVvZYHm8Nmw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B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B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B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B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B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B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U130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65">
        <f>'DATOS %'!X133</f>
        <v>1</v>
      </c>
      <c r="I80" s="366">
        <f>-H80</f>
        <v>-1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65">
        <f>H80</f>
        <v>1</v>
      </c>
      <c r="I81" s="366">
        <f>I80</f>
        <v>-1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67">
        <f>H80</f>
        <v>1</v>
      </c>
      <c r="I82" s="368">
        <f>I80</f>
        <v>-1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</row>
    <row r="87" spans="1:21" s="104" customFormat="1" ht="35.1" customHeight="1" x14ac:dyDescent="0.2">
      <c r="A87" s="106"/>
      <c r="B87" s="103"/>
      <c r="C87" s="103"/>
      <c r="D87" s="103"/>
      <c r="E87" s="103"/>
      <c r="F87" s="103"/>
      <c r="G87" s="48"/>
      <c r="H87" s="48"/>
      <c r="I87" s="48"/>
      <c r="J87" s="103"/>
      <c r="K87" s="103"/>
      <c r="L87" s="103"/>
      <c r="M87" s="103"/>
    </row>
    <row r="88" spans="1:21" s="108" customFormat="1" ht="35.1" customHeight="1" x14ac:dyDescent="0.2">
      <c r="B88" s="103"/>
      <c r="C88" s="103"/>
      <c r="D88" s="103"/>
      <c r="F88" s="103"/>
      <c r="G88" s="48"/>
      <c r="H88" s="48"/>
      <c r="I88" s="48"/>
      <c r="J88" s="103"/>
      <c r="K88" s="103"/>
      <c r="L88" s="103"/>
      <c r="M88" s="103"/>
    </row>
    <row r="89" spans="1:21" s="103" customFormat="1" ht="35.1" customHeight="1" x14ac:dyDescent="0.2">
      <c r="G89" s="48"/>
      <c r="H89" s="48"/>
      <c r="I89" s="48"/>
    </row>
    <row r="90" spans="1:21" s="103" customFormat="1" ht="35.1" customHeight="1" x14ac:dyDescent="0.2">
      <c r="G90" s="48"/>
      <c r="H90" s="48"/>
      <c r="I90" s="48"/>
    </row>
    <row r="91" spans="1:21" s="103" customFormat="1" ht="35.1" customHeight="1" x14ac:dyDescent="0.2">
      <c r="G91" s="48"/>
      <c r="H91" s="48"/>
      <c r="I91" s="48"/>
    </row>
    <row r="92" spans="1:21" s="103" customFormat="1" ht="34.5" customHeight="1" x14ac:dyDescent="0.2">
      <c r="F92" s="104"/>
      <c r="K92" s="105"/>
    </row>
    <row r="93" spans="1:21" s="103" customFormat="1" ht="35.1" customHeight="1" x14ac:dyDescent="0.2">
      <c r="G93" s="48"/>
      <c r="H93" s="48"/>
      <c r="I93" s="48"/>
      <c r="J93" s="48"/>
      <c r="O93" s="49"/>
      <c r="P93" s="49"/>
      <c r="Q93" s="49"/>
      <c r="R93" s="49"/>
      <c r="S93" s="49"/>
      <c r="T93" s="49"/>
      <c r="U93" s="49"/>
    </row>
    <row r="94" spans="1:21" s="103" customFormat="1" ht="35.1" customHeight="1" x14ac:dyDescent="0.2">
      <c r="G94" s="48"/>
      <c r="H94" s="48"/>
      <c r="I94" s="48"/>
      <c r="J94" s="48"/>
    </row>
    <row r="95" spans="1:21" s="104" customFormat="1" ht="9.9499999999999993" customHeight="1" x14ac:dyDescent="0.2">
      <c r="A95" s="106"/>
      <c r="B95" s="103"/>
      <c r="C95" s="103"/>
      <c r="D95" s="103"/>
      <c r="E95" s="103"/>
      <c r="F95" s="103"/>
      <c r="G95" s="48"/>
      <c r="H95" s="48"/>
    </row>
    <row r="96" spans="1:21" s="108" customFormat="1" ht="35.1" customHeight="1" x14ac:dyDescent="0.2">
      <c r="B96" s="103"/>
      <c r="C96" s="103"/>
      <c r="D96" s="103"/>
      <c r="E96" s="103"/>
      <c r="F96" s="103"/>
      <c r="G96" s="48"/>
      <c r="H96" s="48"/>
    </row>
    <row r="97" spans="3:11" s="103" customFormat="1" ht="61.5" customHeight="1" x14ac:dyDescent="0.2">
      <c r="H97" s="108"/>
      <c r="I97" s="108"/>
      <c r="J97" s="108"/>
      <c r="K97" s="105"/>
    </row>
    <row r="98" spans="3:11" s="103" customFormat="1" ht="35.1" customHeight="1" x14ac:dyDescent="0.2">
      <c r="G98" s="108"/>
      <c r="H98" s="108"/>
      <c r="I98" s="108"/>
      <c r="J98" s="108"/>
      <c r="K98" s="105"/>
    </row>
    <row r="99" spans="3:11" s="103" customFormat="1" ht="35.1" customHeight="1" x14ac:dyDescent="0.2">
      <c r="G99" s="108"/>
      <c r="H99" s="108"/>
      <c r="I99" s="108"/>
      <c r="J99" s="108"/>
      <c r="K99" s="105"/>
    </row>
    <row r="100" spans="3:11" s="103" customFormat="1" ht="35.1" customHeight="1" x14ac:dyDescent="0.2">
      <c r="F100" s="104"/>
      <c r="K100" s="105"/>
    </row>
    <row r="101" spans="3:11" s="103" customFormat="1" ht="50.1" customHeight="1" x14ac:dyDescent="0.2"/>
    <row r="102" spans="3:11" s="103" customFormat="1" ht="57.75" customHeight="1" x14ac:dyDescent="0.2">
      <c r="C102" s="109"/>
      <c r="D102" s="109"/>
      <c r="E102" s="109"/>
    </row>
    <row r="103" spans="3:11" s="103" customFormat="1" ht="35.1" customHeight="1" x14ac:dyDescent="0.2"/>
    <row r="104" spans="3:11" s="103" customFormat="1" ht="35.1" customHeight="1" x14ac:dyDescent="0.2">
      <c r="F104" s="105"/>
      <c r="G104" s="105"/>
      <c r="H104" s="105"/>
      <c r="I104" s="105"/>
      <c r="J104" s="105"/>
    </row>
    <row r="105" spans="3:11" s="103" customFormat="1" ht="35.1" customHeight="1" x14ac:dyDescent="0.2"/>
    <row r="106" spans="3:11" s="103" customFormat="1" ht="50.1" customHeight="1" x14ac:dyDescent="0.2">
      <c r="J106" s="48"/>
    </row>
    <row r="107" spans="3:11" s="103" customFormat="1" ht="55.5" customHeight="1" x14ac:dyDescent="0.2">
      <c r="J107" s="108"/>
    </row>
    <row r="108" spans="3:11" s="103" customFormat="1" ht="50.1" customHeight="1" x14ac:dyDescent="0.2">
      <c r="J108" s="108"/>
    </row>
    <row r="109" spans="3:11" s="104" customFormat="1" ht="31.5" customHeight="1" x14ac:dyDescent="0.2">
      <c r="J109" s="108"/>
    </row>
    <row r="110" spans="3:11" s="103" customFormat="1" ht="35.1" customHeight="1" x14ac:dyDescent="0.2">
      <c r="G110" s="108"/>
      <c r="H110" s="108"/>
      <c r="I110" s="108"/>
      <c r="J110" s="108"/>
    </row>
    <row r="111" spans="3:11" s="103" customFormat="1" ht="35.1" customHeight="1" x14ac:dyDescent="0.2">
      <c r="G111" s="108"/>
      <c r="H111" s="108"/>
      <c r="I111" s="108"/>
      <c r="J111" s="108"/>
    </row>
    <row r="112" spans="3:11" s="103" customFormat="1" ht="9.9499999999999993" customHeight="1" x14ac:dyDescent="0.2">
      <c r="G112" s="105"/>
      <c r="H112" s="105"/>
      <c r="I112" s="105"/>
      <c r="J112" s="105"/>
    </row>
    <row r="113" spans="1:12" s="103" customFormat="1" ht="35.1" customHeight="1" x14ac:dyDescent="0.2">
      <c r="J113" s="105"/>
      <c r="K113" s="105"/>
      <c r="L113" s="105"/>
    </row>
    <row r="114" spans="1:12" s="47" customFormat="1" ht="15" customHeight="1" x14ac:dyDescent="0.2">
      <c r="A114" s="48"/>
      <c r="G114" s="48"/>
      <c r="H114" s="48"/>
      <c r="I114" s="48"/>
      <c r="J114" s="48"/>
      <c r="K114" s="49"/>
    </row>
    <row r="115" spans="1:12" s="49" customFormat="1" ht="31.5" customHeigh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2" s="49" customFormat="1" ht="31.5" customHeight="1" x14ac:dyDescent="0.2"/>
    <row r="117" spans="1:12" s="49" customFormat="1" ht="31.5" customHeight="1" x14ac:dyDescent="0.2"/>
    <row r="118" spans="1:12" s="49" customFormat="1" ht="52.5" customHeight="1" x14ac:dyDescent="0.2"/>
    <row r="119" spans="1:12" s="49" customFormat="1" ht="31.5" customHeight="1" x14ac:dyDescent="0.2">
      <c r="K119" s="8"/>
    </row>
    <row r="120" spans="1:12" s="49" customFormat="1" ht="31.5" customHeight="1" x14ac:dyDescent="0.2">
      <c r="K120" s="8"/>
    </row>
    <row r="121" spans="1:12" ht="31.5" customHeight="1" x14ac:dyDescent="0.2">
      <c r="G121" s="75"/>
    </row>
    <row r="122" spans="1:12" ht="51" customHeight="1" x14ac:dyDescent="0.2"/>
    <row r="124" spans="1:12" ht="31.5" customHeight="1" x14ac:dyDescent="0.2"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2" ht="31.5" customHeight="1" x14ac:dyDescent="0.2"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2" ht="31.5" customHeight="1" x14ac:dyDescent="0.2"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2" ht="31.5" customHeight="1" x14ac:dyDescent="0.2"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2" ht="31.5" customHeight="1" x14ac:dyDescent="0.2"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2:10" ht="31.5" customHeight="1" x14ac:dyDescent="0.2"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2:10" ht="31.5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</row>
  </sheetData>
  <sheetProtection algorithmName="SHA-512" hashValue="lzsTZWdW7ZRdXI4MTqdOkk1PpTgybFt8B3yGLUiI3BnutzQhSFCCRLdwgjYV3wztliGkj7KHS/V6tmt+LXySiQ==" saltValue="wEqv8Pqpyqkk+PHy1XH+Fg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0C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C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C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C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C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1:U122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57"/>
      <c r="D28" s="277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58"/>
      <c r="D29" s="359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58"/>
      <c r="D30" s="359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60"/>
      <c r="D31" s="328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%'!X134</f>
        <v>2.5</v>
      </c>
      <c r="I80" s="350">
        <f>-H80</f>
        <v>-2.5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2.5</v>
      </c>
      <c r="I81" s="350">
        <f>I80</f>
        <v>-2.5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2.5</v>
      </c>
      <c r="I82" s="356">
        <f>I80</f>
        <v>-2.5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7sr0EpQP+uIP2RUypEZ0YowbKA4b4W6jRyV3S6gO5NSBAWc7dD5D/LyUtxSCM0X4/98YWCmjIlwsZpX0KmQwNA==" saltValue="L9EqPzI1fWh4UVYmJX95Jw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D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D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D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D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D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D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A1:U122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57"/>
      <c r="D28" s="277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58"/>
      <c r="D29" s="359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58"/>
      <c r="D30" s="359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60"/>
      <c r="D31" s="328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65">
        <f>'DATOS %'!X135</f>
        <v>5</v>
      </c>
      <c r="I80" s="366">
        <f>-H80</f>
        <v>-5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65">
        <f>H80</f>
        <v>5</v>
      </c>
      <c r="I81" s="366">
        <f>I80</f>
        <v>-5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67">
        <f>H80</f>
        <v>5</v>
      </c>
      <c r="I82" s="368">
        <f>I80</f>
        <v>-5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WyhHI56DYCCt7pdLftHkaM8WtdtPTNE0nJUOeQ9jB2LyeTY0LAomzvTei+fXb9x3pAIcJimFHz6DGXzrZ3tBEw==" saltValue="3EmWcLKu6AlmEKUGezDTVw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E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0E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E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E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E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E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</sheetPr>
  <dimension ref="A1:U122"/>
  <sheetViews>
    <sheetView showGridLines="0" view="pageBreakPreview" topLeftCell="A66" zoomScale="80" zoomScaleNormal="60" zoomScaleSheetLayoutView="80" workbookViewId="0">
      <pane ySplit="330" activePane="bottomLeft"/>
      <selection activeCell="E6" sqref="E6"/>
      <selection pane="bottomLeft"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29"/>
      <c r="D28" s="279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30"/>
      <c r="D29" s="331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30"/>
      <c r="D30" s="331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32"/>
      <c r="D31" s="333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%'!X136</f>
        <v>10</v>
      </c>
      <c r="I80" s="350">
        <f>-H80</f>
        <v>-10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69" t="e">
        <f>F74</f>
        <v>#N/A</v>
      </c>
      <c r="G81" s="370" t="e">
        <f>I74</f>
        <v>#DIV/0!</v>
      </c>
      <c r="H81" s="349">
        <f>H80</f>
        <v>10</v>
      </c>
      <c r="I81" s="350">
        <f>I80</f>
        <v>-10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10</v>
      </c>
      <c r="I82" s="356">
        <f>I80</f>
        <v>-10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iRRNfvRYYrV+5qKQrhu1vLkiL3xs1rrmclrXI2oQrnISbVzLR7Zm9lFOW46iYAYVompVFJh2ad9sGKPVKq2Dmw==" saltValue="ZK58ehs3N2imuG/TUoahdw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F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F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F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F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F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F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A1:U122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36"/>
      <c r="D28" s="278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37"/>
      <c r="D29" s="338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37"/>
      <c r="D30" s="338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39"/>
      <c r="D31" s="333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%'!X137</f>
        <v>10</v>
      </c>
      <c r="I80" s="350">
        <f>-H80</f>
        <v>-10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69" t="e">
        <f>F74</f>
        <v>#N/A</v>
      </c>
      <c r="G81" s="370" t="e">
        <f>I74</f>
        <v>#DIV/0!</v>
      </c>
      <c r="H81" s="349">
        <f>H80</f>
        <v>10</v>
      </c>
      <c r="I81" s="350">
        <f>I80</f>
        <v>-10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10</v>
      </c>
      <c r="I82" s="356">
        <f>I80</f>
        <v>-10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nAMKjYg4zdu4wpuMkh5ScnKMxkIG9MzIaSfCQEgqYmLyQC/ka7BPEx0kS/NQuB6x+sNgyJf0yBPBN7ll0fM8vA==" saltValue="szHkYOiv1sIAlOpBFy5D7A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0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10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10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10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10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10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U122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36"/>
      <c r="D28" s="278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37"/>
      <c r="D29" s="338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37"/>
      <c r="D30" s="338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39"/>
      <c r="D31" s="333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308</v>
      </c>
      <c r="I79" s="345" t="s">
        <v>309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%'!X138</f>
        <v>25</v>
      </c>
      <c r="I80" s="350">
        <f>-H80</f>
        <v>-25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25</v>
      </c>
      <c r="I81" s="350">
        <f>I80</f>
        <v>-25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25</v>
      </c>
      <c r="I82" s="356">
        <f>I80</f>
        <v>-25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H5NvaCjRg6v0QmWZ3TuoI2/MxmYHPtOgyGqzBQUh+FgIeFikLp8yzOPxU85jJbRIQU7HiA92t4mPMafV254bpA==" saltValue="IBn9nhFirehB/Suelu0Plg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1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11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11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11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11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11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U122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29"/>
      <c r="D28" s="279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30"/>
      <c r="D29" s="331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30"/>
      <c r="D30" s="331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32"/>
      <c r="D31" s="333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8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672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306</v>
      </c>
      <c r="I79" s="345" t="s">
        <v>307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%'!X139</f>
        <v>0.05</v>
      </c>
      <c r="I80" s="350">
        <f>-H80</f>
        <v>-0.05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F75</f>
        <v>#N/A</v>
      </c>
      <c r="G81" s="352" t="e">
        <f>I75</f>
        <v>#DIV/0!</v>
      </c>
      <c r="H81" s="349">
        <f>H80</f>
        <v>0.05</v>
      </c>
      <c r="I81" s="350">
        <f>I80</f>
        <v>-0.05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0.05</v>
      </c>
      <c r="I82" s="356">
        <f>I80</f>
        <v>-0.05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T9q+aJOMEJPlrHnpS8AgFJgVO73pNamU3nmIzOLHPjozXMfFspcWbr7X3ZcFFIXDXDf+tpRxVPVTQ5RZYL45jA==" saltValue="0GfeQIXjvejZaYWGmK/ZuA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2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12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12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12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12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12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B233"/>
  <sheetViews>
    <sheetView showGridLines="0" view="pageBreakPreview" zoomScale="80" zoomScaleNormal="25" zoomScaleSheetLayoutView="80" zoomScalePageLayoutView="10" workbookViewId="0">
      <selection activeCell="D13" sqref="D13"/>
    </sheetView>
  </sheetViews>
  <sheetFormatPr baseColWidth="10" defaultColWidth="15.7109375" defaultRowHeight="15" x14ac:dyDescent="0.25"/>
  <cols>
    <col min="1" max="1" width="20.7109375" style="146" customWidth="1"/>
    <col min="2" max="2" width="20.140625" style="146" customWidth="1"/>
    <col min="3" max="3" width="19" style="146" customWidth="1"/>
    <col min="4" max="4" width="20.7109375" style="146" customWidth="1"/>
    <col min="5" max="5" width="25.7109375" style="146" customWidth="1"/>
    <col min="6" max="7" width="20.7109375" style="146" customWidth="1"/>
    <col min="8" max="8" width="19.7109375" style="146" customWidth="1"/>
    <col min="9" max="9" width="22.85546875" style="146" customWidth="1"/>
    <col min="10" max="20" width="20.7109375" style="146" customWidth="1"/>
    <col min="21" max="21" width="23.5703125" style="146" customWidth="1"/>
    <col min="22" max="30" width="20.7109375" style="146" customWidth="1"/>
    <col min="31" max="31" width="19.85546875" style="146" bestFit="1" customWidth="1"/>
    <col min="32" max="35" width="15.85546875" style="146" bestFit="1" customWidth="1"/>
    <col min="36" max="40" width="16" style="146" customWidth="1"/>
    <col min="41" max="44" width="10.7109375" style="146" customWidth="1"/>
    <col min="45" max="45" width="16" style="146" bestFit="1" customWidth="1"/>
    <col min="46" max="46" width="15.85546875" style="146" bestFit="1" customWidth="1"/>
    <col min="47" max="47" width="20.7109375" style="146" bestFit="1" customWidth="1"/>
    <col min="48" max="48" width="15.85546875" style="146" bestFit="1" customWidth="1"/>
    <col min="49" max="49" width="15.7109375" style="146"/>
    <col min="50" max="50" width="20" style="146" customWidth="1"/>
    <col min="51" max="52" width="10.7109375" style="146" customWidth="1"/>
    <col min="53" max="16384" width="15.7109375" style="146"/>
  </cols>
  <sheetData>
    <row r="1" spans="2:80" ht="30" customHeight="1" thickBot="1" x14ac:dyDescent="0.3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</row>
    <row r="2" spans="2:80" ht="30" customHeight="1" x14ac:dyDescent="0.25">
      <c r="B2" s="1070" t="s">
        <v>293</v>
      </c>
      <c r="C2" s="1071"/>
      <c r="D2" s="1071"/>
      <c r="E2" s="1071"/>
      <c r="F2" s="1071"/>
      <c r="G2" s="1071"/>
      <c r="H2" s="1072"/>
      <c r="I2" s="145"/>
      <c r="J2" s="145"/>
      <c r="K2" s="145"/>
      <c r="L2" s="145"/>
      <c r="M2" s="145"/>
      <c r="AP2" s="145"/>
      <c r="AQ2" s="147"/>
      <c r="AR2" s="145"/>
      <c r="AS2" s="145"/>
      <c r="AT2" s="145"/>
      <c r="AU2" s="145"/>
      <c r="AV2" s="145"/>
      <c r="AW2" s="145"/>
      <c r="AX2" s="145"/>
      <c r="AY2" s="145"/>
      <c r="AZ2" s="145"/>
    </row>
    <row r="3" spans="2:80" ht="30" customHeight="1" thickBot="1" x14ac:dyDescent="0.3">
      <c r="B3" s="1073"/>
      <c r="C3" s="1074"/>
      <c r="D3" s="1074"/>
      <c r="E3" s="1074"/>
      <c r="F3" s="1074"/>
      <c r="G3" s="1074"/>
      <c r="H3" s="1075"/>
      <c r="I3" s="145"/>
      <c r="J3" s="145"/>
      <c r="K3" s="145"/>
      <c r="L3" s="145"/>
      <c r="M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</row>
    <row r="4" spans="2:80" ht="30" customHeight="1" x14ac:dyDescent="0.25">
      <c r="B4" s="1081" t="s">
        <v>4</v>
      </c>
      <c r="C4" s="1083" t="s">
        <v>213</v>
      </c>
      <c r="D4" s="1085" t="s">
        <v>295</v>
      </c>
      <c r="E4" s="1060" t="s">
        <v>214</v>
      </c>
      <c r="F4" s="1085" t="s">
        <v>290</v>
      </c>
      <c r="G4" s="1085" t="s">
        <v>291</v>
      </c>
      <c r="H4" s="1060" t="s">
        <v>313</v>
      </c>
      <c r="I4" s="145"/>
      <c r="J4" s="145"/>
      <c r="L4" s="145"/>
      <c r="M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</row>
    <row r="5" spans="2:80" ht="39.75" customHeight="1" thickBot="1" x14ac:dyDescent="0.3">
      <c r="B5" s="1082"/>
      <c r="C5" s="1084"/>
      <c r="D5" s="1086"/>
      <c r="E5" s="1061"/>
      <c r="F5" s="1086"/>
      <c r="G5" s="1086"/>
      <c r="H5" s="1061"/>
      <c r="I5" s="145"/>
      <c r="J5" s="145"/>
      <c r="L5" s="145"/>
      <c r="M5" s="145"/>
      <c r="AS5" s="145"/>
      <c r="AT5" s="145"/>
      <c r="AU5" s="145"/>
      <c r="AV5" s="145"/>
      <c r="AW5" s="145"/>
      <c r="AX5" s="145"/>
      <c r="AY5" s="145"/>
      <c r="AZ5" s="145"/>
    </row>
    <row r="6" spans="2:80" ht="30" customHeight="1" thickBot="1" x14ac:dyDescent="0.3">
      <c r="B6" s="148"/>
      <c r="C6" s="149"/>
      <c r="D6" s="149"/>
      <c r="E6" s="149"/>
      <c r="F6" s="149"/>
      <c r="G6" s="149"/>
      <c r="H6" s="150"/>
      <c r="I6" s="145"/>
      <c r="J6" s="145"/>
      <c r="M6" s="145"/>
      <c r="N6" s="1070" t="s">
        <v>192</v>
      </c>
      <c r="O6" s="1071"/>
      <c r="P6" s="1071"/>
      <c r="Q6" s="1071"/>
      <c r="R6" s="1071"/>
      <c r="S6" s="1071"/>
      <c r="T6" s="1071"/>
      <c r="U6" s="1071"/>
      <c r="V6" s="1071"/>
      <c r="W6" s="1071"/>
      <c r="X6" s="1071"/>
      <c r="Y6" s="1071"/>
      <c r="Z6" s="1071"/>
      <c r="AA6" s="1071"/>
      <c r="AB6" s="1072"/>
      <c r="AS6" s="145"/>
      <c r="AT6" s="145"/>
      <c r="AU6" s="145"/>
      <c r="AV6" s="145"/>
      <c r="AW6" s="145"/>
      <c r="AX6" s="151"/>
      <c r="AY6" s="145"/>
      <c r="AZ6" s="145"/>
    </row>
    <row r="7" spans="2:80" s="213" customFormat="1" ht="43.5" customHeight="1" thickBot="1" x14ac:dyDescent="0.3">
      <c r="B7" s="295" t="s">
        <v>179</v>
      </c>
      <c r="C7" s="290"/>
      <c r="D7" s="234"/>
      <c r="E7" s="316"/>
      <c r="F7" s="380"/>
      <c r="G7" s="379"/>
      <c r="H7" s="669"/>
      <c r="I7" s="145"/>
      <c r="J7" s="145"/>
      <c r="M7" s="235"/>
      <c r="N7" s="1073"/>
      <c r="O7" s="1074"/>
      <c r="P7" s="1074"/>
      <c r="Q7" s="1074"/>
      <c r="R7" s="1074"/>
      <c r="S7" s="1074"/>
      <c r="T7" s="1074"/>
      <c r="U7" s="1074"/>
      <c r="V7" s="1074"/>
      <c r="W7" s="1074"/>
      <c r="X7" s="1074"/>
      <c r="Y7" s="1074"/>
      <c r="Z7" s="1074"/>
      <c r="AA7" s="1074"/>
      <c r="AB7" s="1075"/>
      <c r="AS7" s="235"/>
      <c r="AT7" s="235"/>
      <c r="AU7" s="235"/>
      <c r="AV7" s="235"/>
      <c r="AW7" s="235"/>
      <c r="AX7" s="236"/>
      <c r="AY7" s="235"/>
      <c r="AZ7" s="235"/>
    </row>
    <row r="8" spans="2:80" s="238" customFormat="1" ht="30" customHeight="1" x14ac:dyDescent="0.25">
      <c r="B8" s="296" t="s">
        <v>180</v>
      </c>
      <c r="C8" s="291">
        <f>$C$7</f>
        <v>0</v>
      </c>
      <c r="D8" s="237">
        <f>$D$7</f>
        <v>0</v>
      </c>
      <c r="E8" s="152">
        <f>$E$7</f>
        <v>0</v>
      </c>
      <c r="F8" s="152">
        <f>$F$7</f>
        <v>0</v>
      </c>
      <c r="G8" s="153">
        <f>$G$7</f>
        <v>0</v>
      </c>
      <c r="H8" s="376">
        <f>$H$7</f>
        <v>0</v>
      </c>
      <c r="I8" s="145"/>
      <c r="J8" s="145"/>
      <c r="M8" s="239"/>
      <c r="N8" s="1087" t="s">
        <v>142</v>
      </c>
      <c r="O8" s="1058" t="s">
        <v>13</v>
      </c>
      <c r="P8" s="1058" t="s">
        <v>8</v>
      </c>
      <c r="Q8" s="1058" t="s">
        <v>14</v>
      </c>
      <c r="R8" s="1058" t="s">
        <v>15</v>
      </c>
      <c r="S8" s="1058" t="s">
        <v>9</v>
      </c>
      <c r="T8" s="1058" t="s">
        <v>6</v>
      </c>
      <c r="U8" s="1058" t="s">
        <v>89</v>
      </c>
      <c r="V8" s="1058" t="s">
        <v>90</v>
      </c>
      <c r="W8" s="1058" t="s">
        <v>91</v>
      </c>
      <c r="X8" s="1058" t="s">
        <v>266</v>
      </c>
      <c r="Y8" s="1058" t="s">
        <v>267</v>
      </c>
      <c r="Z8" s="1058" t="s">
        <v>268</v>
      </c>
      <c r="AA8" s="1025" t="s">
        <v>215</v>
      </c>
      <c r="AB8" s="1076" t="s">
        <v>426</v>
      </c>
      <c r="AS8" s="239"/>
      <c r="AT8" s="239"/>
      <c r="AU8" s="239"/>
      <c r="AV8" s="239"/>
      <c r="AW8" s="239"/>
      <c r="AX8" s="240"/>
      <c r="AY8" s="239"/>
      <c r="AZ8" s="239"/>
      <c r="CA8" s="213"/>
      <c r="CB8" s="213"/>
    </row>
    <row r="9" spans="2:80" s="238" customFormat="1" ht="30" customHeight="1" thickBot="1" x14ac:dyDescent="0.3">
      <c r="B9" s="296" t="s">
        <v>181</v>
      </c>
      <c r="C9" s="292">
        <f t="shared" ref="C9:C26" si="0">$C$7</f>
        <v>0</v>
      </c>
      <c r="D9" s="243">
        <f t="shared" ref="D9:D26" si="1">$D$7</f>
        <v>0</v>
      </c>
      <c r="E9" s="244">
        <f t="shared" ref="E9:E26" si="2">$E$7</f>
        <v>0</v>
      </c>
      <c r="F9" s="244">
        <f t="shared" ref="F9:F26" si="3">$F$7</f>
        <v>0</v>
      </c>
      <c r="G9" s="245">
        <f t="shared" ref="G9:G26" si="4">$G$7</f>
        <v>0</v>
      </c>
      <c r="H9" s="376">
        <f t="shared" ref="H9:H26" si="5">$H$7</f>
        <v>0</v>
      </c>
      <c r="I9" s="145"/>
      <c r="J9" s="145"/>
      <c r="M9" s="239"/>
      <c r="N9" s="1088"/>
      <c r="O9" s="1059"/>
      <c r="P9" s="1059"/>
      <c r="Q9" s="1059"/>
      <c r="R9" s="1059"/>
      <c r="S9" s="1059"/>
      <c r="T9" s="1059"/>
      <c r="U9" s="1059"/>
      <c r="V9" s="1059"/>
      <c r="W9" s="1059"/>
      <c r="X9" s="1059"/>
      <c r="Y9" s="1059"/>
      <c r="Z9" s="1059"/>
      <c r="AA9" s="1026"/>
      <c r="AB9" s="1077"/>
      <c r="AS9" s="239"/>
      <c r="AT9" s="239"/>
      <c r="AU9" s="239"/>
      <c r="AV9" s="239"/>
      <c r="AW9" s="239"/>
      <c r="AX9" s="240"/>
      <c r="AY9" s="239"/>
      <c r="AZ9" s="239"/>
      <c r="CA9" s="213"/>
      <c r="CB9" s="213"/>
    </row>
    <row r="10" spans="2:80" s="238" customFormat="1" ht="30" customHeight="1" thickBot="1" x14ac:dyDescent="0.3">
      <c r="B10" s="296" t="s">
        <v>182</v>
      </c>
      <c r="C10" s="292">
        <f t="shared" si="0"/>
        <v>0</v>
      </c>
      <c r="D10" s="243">
        <f t="shared" si="1"/>
        <v>0</v>
      </c>
      <c r="E10" s="244">
        <f t="shared" si="2"/>
        <v>0</v>
      </c>
      <c r="F10" s="244">
        <f t="shared" si="3"/>
        <v>0</v>
      </c>
      <c r="G10" s="245">
        <f t="shared" si="4"/>
        <v>0</v>
      </c>
      <c r="H10" s="376">
        <f t="shared" si="5"/>
        <v>0</v>
      </c>
      <c r="I10" s="145"/>
      <c r="J10" s="145"/>
      <c r="M10" s="239"/>
      <c r="N10" s="241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42"/>
      <c r="AB10" s="213"/>
      <c r="AS10" s="239"/>
      <c r="AT10" s="239"/>
      <c r="AU10" s="239"/>
      <c r="AV10" s="239"/>
      <c r="AW10" s="239"/>
      <c r="AX10" s="240"/>
      <c r="AY10" s="239"/>
      <c r="AZ10" s="239"/>
      <c r="CA10" s="213"/>
      <c r="CB10" s="213"/>
    </row>
    <row r="11" spans="2:80" s="238" customFormat="1" ht="30" customHeight="1" x14ac:dyDescent="0.25">
      <c r="B11" s="296" t="s">
        <v>183</v>
      </c>
      <c r="C11" s="292">
        <f t="shared" si="0"/>
        <v>0</v>
      </c>
      <c r="D11" s="243">
        <f t="shared" si="1"/>
        <v>0</v>
      </c>
      <c r="E11" s="244">
        <f t="shared" si="2"/>
        <v>0</v>
      </c>
      <c r="F11" s="244">
        <f t="shared" si="3"/>
        <v>0</v>
      </c>
      <c r="G11" s="245">
        <f t="shared" si="4"/>
        <v>0</v>
      </c>
      <c r="H11" s="376">
        <f t="shared" si="5"/>
        <v>0</v>
      </c>
      <c r="I11" s="145"/>
      <c r="J11" s="145"/>
      <c r="M11" s="239"/>
      <c r="N11" s="457" t="s">
        <v>113</v>
      </c>
      <c r="O11" s="458" t="s">
        <v>95</v>
      </c>
      <c r="P11" s="458" t="s">
        <v>63</v>
      </c>
      <c r="Q11" s="458">
        <v>27129360</v>
      </c>
      <c r="R11" s="458" t="s">
        <v>67</v>
      </c>
      <c r="S11" s="458" t="s">
        <v>210</v>
      </c>
      <c r="T11" s="459">
        <v>43228</v>
      </c>
      <c r="U11" s="458">
        <v>1</v>
      </c>
      <c r="V11" s="458">
        <v>8.9999999999999993E-3</v>
      </c>
      <c r="W11" s="460">
        <v>0.01</v>
      </c>
      <c r="X11" s="461">
        <v>8000</v>
      </c>
      <c r="Y11" s="458">
        <v>30</v>
      </c>
      <c r="Z11" s="462">
        <f t="shared" ref="Z11:Z27" si="6">(0.34848*((751.2+755.4)/2)-0.009*((48.4+57.9)/2)*EXP(0.0612*((19.5+20.7)/2)))/(273.15+((19.5+20.7)/2))</f>
        <v>0.88959332465171137</v>
      </c>
      <c r="AA11" s="463" t="s">
        <v>133</v>
      </c>
      <c r="AB11" s="1078">
        <v>2</v>
      </c>
      <c r="AS11" s="239"/>
      <c r="AT11" s="239"/>
      <c r="AU11" s="239"/>
      <c r="AV11" s="239"/>
      <c r="AW11" s="239"/>
      <c r="AX11" s="240"/>
      <c r="AY11" s="239"/>
      <c r="AZ11" s="239"/>
      <c r="CA11" s="213"/>
      <c r="CB11" s="213"/>
    </row>
    <row r="12" spans="2:80" s="238" customFormat="1" ht="30" customHeight="1" x14ac:dyDescent="0.25">
      <c r="B12" s="297" t="s">
        <v>184</v>
      </c>
      <c r="C12" s="292">
        <f t="shared" si="0"/>
        <v>0</v>
      </c>
      <c r="D12" s="243">
        <f t="shared" si="1"/>
        <v>0</v>
      </c>
      <c r="E12" s="244">
        <f t="shared" si="2"/>
        <v>0</v>
      </c>
      <c r="F12" s="244">
        <f t="shared" si="3"/>
        <v>0</v>
      </c>
      <c r="G12" s="245">
        <f t="shared" si="4"/>
        <v>0</v>
      </c>
      <c r="H12" s="376">
        <f t="shared" si="5"/>
        <v>0</v>
      </c>
      <c r="I12" s="145"/>
      <c r="J12" s="145"/>
      <c r="M12" s="239"/>
      <c r="N12" s="464" t="s">
        <v>114</v>
      </c>
      <c r="O12" s="465" t="s">
        <v>95</v>
      </c>
      <c r="P12" s="465" t="s">
        <v>63</v>
      </c>
      <c r="Q12" s="465">
        <v>27129360</v>
      </c>
      <c r="R12" s="465" t="s">
        <v>68</v>
      </c>
      <c r="S12" s="465" t="s">
        <v>210</v>
      </c>
      <c r="T12" s="466">
        <v>43228</v>
      </c>
      <c r="U12" s="465">
        <v>2</v>
      </c>
      <c r="V12" s="467">
        <v>0.01</v>
      </c>
      <c r="W12" s="465">
        <v>1.2E-2</v>
      </c>
      <c r="X12" s="468">
        <v>8000</v>
      </c>
      <c r="Y12" s="465">
        <v>30</v>
      </c>
      <c r="Z12" s="469">
        <f t="shared" si="6"/>
        <v>0.88959332465171137</v>
      </c>
      <c r="AA12" s="470" t="s">
        <v>133</v>
      </c>
      <c r="AB12" s="1079"/>
      <c r="AS12" s="239"/>
      <c r="AT12" s="239"/>
      <c r="AU12" s="239"/>
      <c r="AV12" s="239"/>
      <c r="AW12" s="239"/>
      <c r="AX12" s="240"/>
      <c r="AY12" s="239"/>
      <c r="AZ12" s="239"/>
      <c r="CA12" s="213"/>
      <c r="CB12" s="213"/>
    </row>
    <row r="13" spans="2:80" s="213" customFormat="1" ht="30" customHeight="1" x14ac:dyDescent="0.25">
      <c r="B13" s="298" t="s">
        <v>185</v>
      </c>
      <c r="C13" s="292">
        <f t="shared" si="0"/>
        <v>0</v>
      </c>
      <c r="D13" s="243">
        <f t="shared" si="1"/>
        <v>0</v>
      </c>
      <c r="E13" s="244">
        <f t="shared" si="2"/>
        <v>0</v>
      </c>
      <c r="F13" s="244">
        <f t="shared" si="3"/>
        <v>0</v>
      </c>
      <c r="G13" s="245">
        <f t="shared" si="4"/>
        <v>0</v>
      </c>
      <c r="H13" s="376">
        <f t="shared" si="5"/>
        <v>0</v>
      </c>
      <c r="I13" s="145"/>
      <c r="J13" s="145"/>
      <c r="M13" s="235"/>
      <c r="N13" s="464" t="s">
        <v>219</v>
      </c>
      <c r="O13" s="465" t="s">
        <v>95</v>
      </c>
      <c r="P13" s="465" t="s">
        <v>63</v>
      </c>
      <c r="Q13" s="465">
        <v>27129360</v>
      </c>
      <c r="R13" s="465" t="s">
        <v>69</v>
      </c>
      <c r="S13" s="465" t="s">
        <v>210</v>
      </c>
      <c r="T13" s="466">
        <v>43228</v>
      </c>
      <c r="U13" s="465">
        <v>2</v>
      </c>
      <c r="V13" s="465">
        <v>1.7000000000000001E-2</v>
      </c>
      <c r="W13" s="465">
        <v>1.2E-2</v>
      </c>
      <c r="X13" s="468">
        <v>8000</v>
      </c>
      <c r="Y13" s="465">
        <v>30</v>
      </c>
      <c r="Z13" s="469">
        <f t="shared" si="6"/>
        <v>0.88959332465171137</v>
      </c>
      <c r="AA13" s="470" t="s">
        <v>133</v>
      </c>
      <c r="AB13" s="1079"/>
      <c r="AS13" s="240"/>
      <c r="AT13" s="240"/>
      <c r="AU13" s="240"/>
      <c r="AV13" s="240"/>
      <c r="AW13" s="240"/>
      <c r="AX13" s="236"/>
      <c r="AY13" s="235"/>
      <c r="AZ13" s="235"/>
    </row>
    <row r="14" spans="2:80" s="213" customFormat="1" ht="30" customHeight="1" x14ac:dyDescent="0.25">
      <c r="B14" s="297" t="s">
        <v>186</v>
      </c>
      <c r="C14" s="292">
        <f t="shared" si="0"/>
        <v>0</v>
      </c>
      <c r="D14" s="243">
        <f t="shared" si="1"/>
        <v>0</v>
      </c>
      <c r="E14" s="244">
        <f t="shared" si="2"/>
        <v>0</v>
      </c>
      <c r="F14" s="244">
        <f t="shared" si="3"/>
        <v>0</v>
      </c>
      <c r="G14" s="245">
        <f t="shared" si="4"/>
        <v>0</v>
      </c>
      <c r="H14" s="376">
        <f t="shared" si="5"/>
        <v>0</v>
      </c>
      <c r="I14" s="145"/>
      <c r="J14" s="145"/>
      <c r="M14" s="235"/>
      <c r="N14" s="464" t="s">
        <v>115</v>
      </c>
      <c r="O14" s="465" t="s">
        <v>95</v>
      </c>
      <c r="P14" s="465" t="s">
        <v>63</v>
      </c>
      <c r="Q14" s="465">
        <v>27129360</v>
      </c>
      <c r="R14" s="465" t="s">
        <v>70</v>
      </c>
      <c r="S14" s="465" t="s">
        <v>210</v>
      </c>
      <c r="T14" s="466">
        <v>43228</v>
      </c>
      <c r="U14" s="465">
        <v>5</v>
      </c>
      <c r="V14" s="467">
        <v>2E-3</v>
      </c>
      <c r="W14" s="465">
        <v>1.6E-2</v>
      </c>
      <c r="X14" s="468">
        <v>8000</v>
      </c>
      <c r="Y14" s="465">
        <v>30</v>
      </c>
      <c r="Z14" s="469">
        <f t="shared" si="6"/>
        <v>0.88959332465171137</v>
      </c>
      <c r="AA14" s="470" t="s">
        <v>133</v>
      </c>
      <c r="AB14" s="1079"/>
      <c r="AS14" s="236"/>
      <c r="AT14" s="236"/>
      <c r="AU14" s="236"/>
      <c r="AV14" s="236"/>
      <c r="AW14" s="236"/>
      <c r="AX14" s="236"/>
      <c r="AY14" s="235"/>
      <c r="AZ14" s="235"/>
    </row>
    <row r="15" spans="2:80" s="213" customFormat="1" ht="30" customHeight="1" x14ac:dyDescent="0.25">
      <c r="B15" s="297" t="s">
        <v>187</v>
      </c>
      <c r="C15" s="292">
        <f t="shared" si="0"/>
        <v>0</v>
      </c>
      <c r="D15" s="243">
        <f t="shared" si="1"/>
        <v>0</v>
      </c>
      <c r="E15" s="244">
        <f t="shared" si="2"/>
        <v>0</v>
      </c>
      <c r="F15" s="244">
        <f t="shared" si="3"/>
        <v>0</v>
      </c>
      <c r="G15" s="245">
        <f t="shared" si="4"/>
        <v>0</v>
      </c>
      <c r="H15" s="376">
        <f t="shared" si="5"/>
        <v>0</v>
      </c>
      <c r="I15" s="145"/>
      <c r="J15" s="145"/>
      <c r="M15" s="235"/>
      <c r="N15" s="464" t="s">
        <v>116</v>
      </c>
      <c r="O15" s="465" t="s">
        <v>95</v>
      </c>
      <c r="P15" s="465" t="s">
        <v>63</v>
      </c>
      <c r="Q15" s="465">
        <v>27129360</v>
      </c>
      <c r="R15" s="465" t="s">
        <v>71</v>
      </c>
      <c r="S15" s="465" t="s">
        <v>210</v>
      </c>
      <c r="T15" s="466">
        <v>43228</v>
      </c>
      <c r="U15" s="465">
        <v>10</v>
      </c>
      <c r="V15" s="465">
        <v>1.9E-2</v>
      </c>
      <c r="W15" s="467">
        <v>0.02</v>
      </c>
      <c r="X15" s="468">
        <v>8000</v>
      </c>
      <c r="Y15" s="465">
        <v>30</v>
      </c>
      <c r="Z15" s="469">
        <f t="shared" si="6"/>
        <v>0.88959332465171137</v>
      </c>
      <c r="AA15" s="470" t="s">
        <v>133</v>
      </c>
      <c r="AB15" s="1079"/>
      <c r="AS15" s="236"/>
      <c r="AT15" s="236"/>
      <c r="AU15" s="236"/>
      <c r="AV15" s="236"/>
      <c r="AW15" s="236"/>
      <c r="AX15" s="236"/>
      <c r="AY15" s="235"/>
      <c r="AZ15" s="235"/>
    </row>
    <row r="16" spans="2:80" s="213" customFormat="1" ht="30" customHeight="1" x14ac:dyDescent="0.25">
      <c r="B16" s="297" t="s">
        <v>188</v>
      </c>
      <c r="C16" s="292">
        <f t="shared" si="0"/>
        <v>0</v>
      </c>
      <c r="D16" s="243">
        <f t="shared" si="1"/>
        <v>0</v>
      </c>
      <c r="E16" s="244">
        <f t="shared" si="2"/>
        <v>0</v>
      </c>
      <c r="F16" s="244">
        <f t="shared" si="3"/>
        <v>0</v>
      </c>
      <c r="G16" s="245">
        <f t="shared" si="4"/>
        <v>0</v>
      </c>
      <c r="H16" s="376">
        <f t="shared" si="5"/>
        <v>0</v>
      </c>
      <c r="I16" s="145"/>
      <c r="J16" s="145"/>
      <c r="M16" s="235"/>
      <c r="N16" s="464" t="s">
        <v>117</v>
      </c>
      <c r="O16" s="465" t="s">
        <v>95</v>
      </c>
      <c r="P16" s="465" t="s">
        <v>63</v>
      </c>
      <c r="Q16" s="465">
        <v>27129360</v>
      </c>
      <c r="R16" s="465" t="s">
        <v>72</v>
      </c>
      <c r="S16" s="465" t="s">
        <v>210</v>
      </c>
      <c r="T16" s="466">
        <v>43228</v>
      </c>
      <c r="U16" s="465">
        <v>20</v>
      </c>
      <c r="V16" s="465">
        <v>2.5999999999999999E-2</v>
      </c>
      <c r="W16" s="465">
        <v>2.5000000000000001E-2</v>
      </c>
      <c r="X16" s="468">
        <v>8000</v>
      </c>
      <c r="Y16" s="465">
        <v>30</v>
      </c>
      <c r="Z16" s="469">
        <f t="shared" si="6"/>
        <v>0.88959332465171137</v>
      </c>
      <c r="AA16" s="470" t="s">
        <v>133</v>
      </c>
      <c r="AB16" s="1079"/>
      <c r="AS16" s="236"/>
      <c r="AT16" s="236"/>
      <c r="AU16" s="236"/>
      <c r="AV16" s="236"/>
      <c r="AW16" s="236"/>
      <c r="AX16" s="236"/>
      <c r="AY16" s="235"/>
      <c r="AZ16" s="235"/>
    </row>
    <row r="17" spans="1:52" s="213" customFormat="1" ht="30" customHeight="1" x14ac:dyDescent="0.25">
      <c r="B17" s="298" t="s">
        <v>189</v>
      </c>
      <c r="C17" s="292">
        <f t="shared" si="0"/>
        <v>0</v>
      </c>
      <c r="D17" s="243">
        <f t="shared" si="1"/>
        <v>0</v>
      </c>
      <c r="E17" s="244">
        <f t="shared" si="2"/>
        <v>0</v>
      </c>
      <c r="F17" s="244">
        <f t="shared" si="3"/>
        <v>0</v>
      </c>
      <c r="G17" s="245">
        <f t="shared" si="4"/>
        <v>0</v>
      </c>
      <c r="H17" s="376">
        <f t="shared" si="5"/>
        <v>0</v>
      </c>
      <c r="I17" s="145"/>
      <c r="J17" s="145"/>
      <c r="M17" s="235"/>
      <c r="N17" s="464" t="s">
        <v>220</v>
      </c>
      <c r="O17" s="465" t="s">
        <v>95</v>
      </c>
      <c r="P17" s="465" t="s">
        <v>63</v>
      </c>
      <c r="Q17" s="465">
        <v>27129360</v>
      </c>
      <c r="R17" s="465" t="s">
        <v>73</v>
      </c>
      <c r="S17" s="465" t="s">
        <v>210</v>
      </c>
      <c r="T17" s="466">
        <v>43228</v>
      </c>
      <c r="U17" s="465">
        <v>20</v>
      </c>
      <c r="V17" s="465">
        <v>7.0000000000000001E-3</v>
      </c>
      <c r="W17" s="465">
        <v>2.5000000000000001E-2</v>
      </c>
      <c r="X17" s="468">
        <v>8000</v>
      </c>
      <c r="Y17" s="465">
        <v>30</v>
      </c>
      <c r="Z17" s="469">
        <f t="shared" si="6"/>
        <v>0.88959332465171137</v>
      </c>
      <c r="AA17" s="470" t="s">
        <v>133</v>
      </c>
      <c r="AB17" s="1079"/>
      <c r="AS17" s="236"/>
      <c r="AT17" s="236"/>
      <c r="AU17" s="236"/>
      <c r="AV17" s="236"/>
      <c r="AW17" s="236"/>
      <c r="AX17" s="236"/>
      <c r="AY17" s="235"/>
      <c r="AZ17" s="235"/>
    </row>
    <row r="18" spans="1:52" s="213" customFormat="1" ht="30" customHeight="1" x14ac:dyDescent="0.25">
      <c r="B18" s="297" t="s">
        <v>190</v>
      </c>
      <c r="C18" s="292">
        <f t="shared" si="0"/>
        <v>0</v>
      </c>
      <c r="D18" s="243">
        <f t="shared" si="1"/>
        <v>0</v>
      </c>
      <c r="E18" s="244">
        <f t="shared" si="2"/>
        <v>0</v>
      </c>
      <c r="F18" s="244">
        <f t="shared" si="3"/>
        <v>0</v>
      </c>
      <c r="G18" s="245">
        <f t="shared" si="4"/>
        <v>0</v>
      </c>
      <c r="H18" s="376">
        <f t="shared" si="5"/>
        <v>0</v>
      </c>
      <c r="I18" s="145"/>
      <c r="J18" s="145"/>
      <c r="M18" s="235"/>
      <c r="N18" s="464" t="s">
        <v>118</v>
      </c>
      <c r="O18" s="465" t="s">
        <v>95</v>
      </c>
      <c r="P18" s="465" t="s">
        <v>63</v>
      </c>
      <c r="Q18" s="465">
        <v>27129360</v>
      </c>
      <c r="R18" s="465" t="s">
        <v>74</v>
      </c>
      <c r="S18" s="465" t="s">
        <v>210</v>
      </c>
      <c r="T18" s="466">
        <v>43228</v>
      </c>
      <c r="U18" s="465">
        <v>50</v>
      </c>
      <c r="V18" s="465">
        <v>0.03</v>
      </c>
      <c r="W18" s="465">
        <v>0.03</v>
      </c>
      <c r="X18" s="468">
        <v>8000</v>
      </c>
      <c r="Y18" s="465">
        <v>30</v>
      </c>
      <c r="Z18" s="469">
        <f t="shared" si="6"/>
        <v>0.88959332465171137</v>
      </c>
      <c r="AA18" s="470" t="s">
        <v>133</v>
      </c>
      <c r="AB18" s="1079"/>
      <c r="AS18" s="236"/>
      <c r="AT18" s="236"/>
      <c r="AU18" s="236"/>
      <c r="AV18" s="236"/>
      <c r="AW18" s="236"/>
      <c r="AX18" s="236"/>
      <c r="AY18" s="235"/>
      <c r="AZ18" s="235"/>
    </row>
    <row r="19" spans="1:52" s="213" customFormat="1" ht="30" customHeight="1" x14ac:dyDescent="0.25">
      <c r="B19" s="299" t="s">
        <v>138</v>
      </c>
      <c r="C19" s="292">
        <f t="shared" si="0"/>
        <v>0</v>
      </c>
      <c r="D19" s="243">
        <f t="shared" si="1"/>
        <v>0</v>
      </c>
      <c r="E19" s="244">
        <f t="shared" si="2"/>
        <v>0</v>
      </c>
      <c r="F19" s="244">
        <f t="shared" si="3"/>
        <v>0</v>
      </c>
      <c r="G19" s="245">
        <f t="shared" si="4"/>
        <v>0</v>
      </c>
      <c r="H19" s="376">
        <f t="shared" si="5"/>
        <v>0</v>
      </c>
      <c r="I19" s="145"/>
      <c r="J19" s="145"/>
      <c r="M19" s="235"/>
      <c r="N19" s="464" t="s">
        <v>119</v>
      </c>
      <c r="O19" s="465" t="s">
        <v>95</v>
      </c>
      <c r="P19" s="465" t="s">
        <v>63</v>
      </c>
      <c r="Q19" s="465">
        <v>27129360</v>
      </c>
      <c r="R19" s="465" t="s">
        <v>75</v>
      </c>
      <c r="S19" s="465" t="s">
        <v>210</v>
      </c>
      <c r="T19" s="466">
        <v>43228</v>
      </c>
      <c r="U19" s="465">
        <v>100</v>
      </c>
      <c r="V19" s="465">
        <v>0.06</v>
      </c>
      <c r="W19" s="465">
        <v>0.05</v>
      </c>
      <c r="X19" s="468">
        <v>8000</v>
      </c>
      <c r="Y19" s="465">
        <v>30</v>
      </c>
      <c r="Z19" s="469">
        <f t="shared" si="6"/>
        <v>0.88959332465171137</v>
      </c>
      <c r="AA19" s="470" t="s">
        <v>133</v>
      </c>
      <c r="AB19" s="1079"/>
      <c r="AS19" s="235"/>
      <c r="AT19" s="235"/>
      <c r="AU19" s="235"/>
      <c r="AV19" s="235"/>
      <c r="AW19" s="235"/>
      <c r="AX19" s="235"/>
      <c r="AY19" s="235"/>
      <c r="AZ19" s="235"/>
    </row>
    <row r="20" spans="1:52" s="213" customFormat="1" ht="30" customHeight="1" x14ac:dyDescent="0.25">
      <c r="B20" s="300" t="s">
        <v>139</v>
      </c>
      <c r="C20" s="292">
        <f t="shared" si="0"/>
        <v>0</v>
      </c>
      <c r="D20" s="243">
        <f t="shared" si="1"/>
        <v>0</v>
      </c>
      <c r="E20" s="244">
        <f t="shared" si="2"/>
        <v>0</v>
      </c>
      <c r="F20" s="244">
        <f t="shared" si="3"/>
        <v>0</v>
      </c>
      <c r="G20" s="245">
        <f t="shared" si="4"/>
        <v>0</v>
      </c>
      <c r="H20" s="376">
        <f t="shared" si="5"/>
        <v>0</v>
      </c>
      <c r="I20" s="145"/>
      <c r="J20" s="145"/>
      <c r="M20" s="235"/>
      <c r="N20" s="464" t="s">
        <v>120</v>
      </c>
      <c r="O20" s="465" t="s">
        <v>95</v>
      </c>
      <c r="P20" s="465" t="s">
        <v>63</v>
      </c>
      <c r="Q20" s="465">
        <v>27129360</v>
      </c>
      <c r="R20" s="465" t="s">
        <v>76</v>
      </c>
      <c r="S20" s="465" t="s">
        <v>210</v>
      </c>
      <c r="T20" s="466">
        <v>43228</v>
      </c>
      <c r="U20" s="465">
        <v>200</v>
      </c>
      <c r="V20" s="465">
        <v>-7.0000000000000007E-2</v>
      </c>
      <c r="W20" s="471">
        <v>0.1</v>
      </c>
      <c r="X20" s="468">
        <v>8000</v>
      </c>
      <c r="Y20" s="465">
        <v>30</v>
      </c>
      <c r="Z20" s="469">
        <f t="shared" si="6"/>
        <v>0.88959332465171137</v>
      </c>
      <c r="AA20" s="470" t="s">
        <v>133</v>
      </c>
      <c r="AB20" s="1079"/>
      <c r="AS20" s="235"/>
      <c r="AT20" s="235"/>
      <c r="AU20" s="235"/>
      <c r="AV20" s="235"/>
      <c r="AW20" s="235"/>
      <c r="AX20" s="235"/>
      <c r="AY20" s="235"/>
      <c r="AZ20" s="235"/>
    </row>
    <row r="21" spans="1:52" s="213" customFormat="1" ht="30" customHeight="1" x14ac:dyDescent="0.25">
      <c r="B21" s="301" t="s">
        <v>191</v>
      </c>
      <c r="C21" s="292">
        <f t="shared" si="0"/>
        <v>0</v>
      </c>
      <c r="D21" s="243">
        <f t="shared" si="1"/>
        <v>0</v>
      </c>
      <c r="E21" s="244">
        <f t="shared" si="2"/>
        <v>0</v>
      </c>
      <c r="F21" s="244">
        <f t="shared" si="3"/>
        <v>0</v>
      </c>
      <c r="G21" s="245">
        <f t="shared" si="4"/>
        <v>0</v>
      </c>
      <c r="H21" s="376">
        <f t="shared" si="5"/>
        <v>0</v>
      </c>
      <c r="I21" s="145"/>
      <c r="J21" s="145"/>
      <c r="M21" s="240"/>
      <c r="N21" s="464" t="s">
        <v>221</v>
      </c>
      <c r="O21" s="465" t="s">
        <v>95</v>
      </c>
      <c r="P21" s="465" t="s">
        <v>63</v>
      </c>
      <c r="Q21" s="465">
        <v>27129360</v>
      </c>
      <c r="R21" s="465" t="s">
        <v>77</v>
      </c>
      <c r="S21" s="465" t="s">
        <v>210</v>
      </c>
      <c r="T21" s="466">
        <v>43228</v>
      </c>
      <c r="U21" s="465">
        <v>200</v>
      </c>
      <c r="V21" s="465">
        <v>0.15</v>
      </c>
      <c r="W21" s="471">
        <v>0.1</v>
      </c>
      <c r="X21" s="468">
        <v>8000</v>
      </c>
      <c r="Y21" s="465">
        <v>30</v>
      </c>
      <c r="Z21" s="469">
        <f t="shared" si="6"/>
        <v>0.88959332465171137</v>
      </c>
      <c r="AA21" s="470" t="s">
        <v>133</v>
      </c>
      <c r="AB21" s="1079"/>
      <c r="AS21" s="235"/>
      <c r="AT21" s="235"/>
      <c r="AU21" s="235"/>
      <c r="AV21" s="235"/>
      <c r="AW21" s="235"/>
      <c r="AX21" s="235"/>
      <c r="AY21" s="235"/>
      <c r="AZ21" s="235"/>
    </row>
    <row r="22" spans="1:52" s="213" customFormat="1" ht="30" customHeight="1" x14ac:dyDescent="0.25">
      <c r="B22" s="302" t="s">
        <v>140</v>
      </c>
      <c r="C22" s="292">
        <f t="shared" si="0"/>
        <v>0</v>
      </c>
      <c r="D22" s="243">
        <f t="shared" si="1"/>
        <v>0</v>
      </c>
      <c r="E22" s="244">
        <f t="shared" si="2"/>
        <v>0</v>
      </c>
      <c r="F22" s="244">
        <f t="shared" si="3"/>
        <v>0</v>
      </c>
      <c r="G22" s="245">
        <f t="shared" si="4"/>
        <v>0</v>
      </c>
      <c r="H22" s="376">
        <f t="shared" si="5"/>
        <v>0</v>
      </c>
      <c r="I22" s="145"/>
      <c r="J22" s="145"/>
      <c r="M22" s="240"/>
      <c r="N22" s="464" t="s">
        <v>121</v>
      </c>
      <c r="O22" s="465" t="s">
        <v>95</v>
      </c>
      <c r="P22" s="465" t="s">
        <v>63</v>
      </c>
      <c r="Q22" s="465">
        <v>27129360</v>
      </c>
      <c r="R22" s="465" t="s">
        <v>78</v>
      </c>
      <c r="S22" s="465" t="s">
        <v>210</v>
      </c>
      <c r="T22" s="466">
        <v>43228</v>
      </c>
      <c r="U22" s="465">
        <v>500</v>
      </c>
      <c r="V22" s="465">
        <v>0.33</v>
      </c>
      <c r="W22" s="465">
        <v>0.25</v>
      </c>
      <c r="X22" s="468">
        <v>8000</v>
      </c>
      <c r="Y22" s="465">
        <v>30</v>
      </c>
      <c r="Z22" s="469">
        <f t="shared" si="6"/>
        <v>0.88959332465171137</v>
      </c>
      <c r="AA22" s="470" t="s">
        <v>133</v>
      </c>
      <c r="AB22" s="1079"/>
      <c r="AS22" s="235"/>
      <c r="AT22" s="235"/>
      <c r="AU22" s="235"/>
      <c r="AV22" s="235"/>
      <c r="AW22" s="235"/>
      <c r="AX22" s="235"/>
      <c r="AY22" s="235"/>
      <c r="AZ22" s="235"/>
    </row>
    <row r="23" spans="1:52" s="213" customFormat="1" ht="30" customHeight="1" x14ac:dyDescent="0.25">
      <c r="B23" s="303" t="s">
        <v>141</v>
      </c>
      <c r="C23" s="292">
        <f t="shared" si="0"/>
        <v>0</v>
      </c>
      <c r="D23" s="243">
        <f t="shared" si="1"/>
        <v>0</v>
      </c>
      <c r="E23" s="244">
        <f t="shared" si="2"/>
        <v>0</v>
      </c>
      <c r="F23" s="244">
        <f t="shared" si="3"/>
        <v>0</v>
      </c>
      <c r="G23" s="245">
        <f t="shared" si="4"/>
        <v>0</v>
      </c>
      <c r="H23" s="376">
        <f t="shared" si="5"/>
        <v>0</v>
      </c>
      <c r="I23" s="145"/>
      <c r="J23" s="145"/>
      <c r="M23" s="240"/>
      <c r="N23" s="464" t="s">
        <v>122</v>
      </c>
      <c r="O23" s="465" t="s">
        <v>95</v>
      </c>
      <c r="P23" s="465" t="s">
        <v>63</v>
      </c>
      <c r="Q23" s="465">
        <v>27129360</v>
      </c>
      <c r="R23" s="465" t="s">
        <v>79</v>
      </c>
      <c r="S23" s="465" t="s">
        <v>210</v>
      </c>
      <c r="T23" s="466">
        <v>43228</v>
      </c>
      <c r="U23" s="465">
        <v>1000</v>
      </c>
      <c r="V23" s="465">
        <v>0.7</v>
      </c>
      <c r="W23" s="465">
        <v>0.5</v>
      </c>
      <c r="X23" s="468">
        <v>8000</v>
      </c>
      <c r="Y23" s="465">
        <v>30</v>
      </c>
      <c r="Z23" s="469">
        <f t="shared" si="6"/>
        <v>0.88959332465171137</v>
      </c>
      <c r="AA23" s="470" t="s">
        <v>133</v>
      </c>
      <c r="AB23" s="1079"/>
      <c r="AS23" s="235"/>
      <c r="AT23" s="235"/>
      <c r="AU23" s="235"/>
      <c r="AV23" s="235"/>
      <c r="AW23" s="235"/>
      <c r="AX23" s="235"/>
      <c r="AY23" s="235"/>
      <c r="AZ23" s="235"/>
    </row>
    <row r="24" spans="1:52" s="213" customFormat="1" ht="30" customHeight="1" x14ac:dyDescent="0.25">
      <c r="B24" s="304" t="s">
        <v>423</v>
      </c>
      <c r="C24" s="292">
        <f t="shared" si="0"/>
        <v>0</v>
      </c>
      <c r="D24" s="243">
        <f t="shared" si="1"/>
        <v>0</v>
      </c>
      <c r="E24" s="244">
        <f t="shared" si="2"/>
        <v>0</v>
      </c>
      <c r="F24" s="244">
        <f t="shared" si="3"/>
        <v>0</v>
      </c>
      <c r="G24" s="245">
        <f t="shared" si="4"/>
        <v>0</v>
      </c>
      <c r="H24" s="376">
        <f t="shared" si="5"/>
        <v>0</v>
      </c>
      <c r="I24" s="145"/>
      <c r="J24" s="145"/>
      <c r="M24" s="240"/>
      <c r="N24" s="464" t="s">
        <v>123</v>
      </c>
      <c r="O24" s="465" t="s">
        <v>95</v>
      </c>
      <c r="P24" s="465" t="s">
        <v>63</v>
      </c>
      <c r="Q24" s="465">
        <v>27129360</v>
      </c>
      <c r="R24" s="465" t="s">
        <v>80</v>
      </c>
      <c r="S24" s="465" t="s">
        <v>210</v>
      </c>
      <c r="T24" s="466">
        <v>43228</v>
      </c>
      <c r="U24" s="465">
        <v>2000</v>
      </c>
      <c r="V24" s="465">
        <v>1.1000000000000001</v>
      </c>
      <c r="W24" s="472">
        <v>1</v>
      </c>
      <c r="X24" s="468">
        <v>8000</v>
      </c>
      <c r="Y24" s="465">
        <v>30</v>
      </c>
      <c r="Z24" s="469">
        <f t="shared" si="6"/>
        <v>0.88959332465171137</v>
      </c>
      <c r="AA24" s="470" t="s">
        <v>133</v>
      </c>
      <c r="AB24" s="1079"/>
      <c r="AS24" s="235"/>
      <c r="AT24" s="235"/>
      <c r="AU24" s="235"/>
      <c r="AV24" s="235"/>
      <c r="AW24" s="235"/>
      <c r="AX24" s="235"/>
      <c r="AY24" s="235"/>
      <c r="AZ24" s="235"/>
    </row>
    <row r="25" spans="1:52" s="213" customFormat="1" ht="30" customHeight="1" x14ac:dyDescent="0.25">
      <c r="B25" s="305"/>
      <c r="C25" s="292">
        <f t="shared" si="0"/>
        <v>0</v>
      </c>
      <c r="D25" s="243">
        <f t="shared" si="1"/>
        <v>0</v>
      </c>
      <c r="E25" s="244">
        <f t="shared" si="2"/>
        <v>0</v>
      </c>
      <c r="F25" s="244">
        <f t="shared" si="3"/>
        <v>0</v>
      </c>
      <c r="G25" s="245">
        <f t="shared" si="4"/>
        <v>0</v>
      </c>
      <c r="H25" s="376">
        <f t="shared" si="5"/>
        <v>0</v>
      </c>
      <c r="I25" s="145"/>
      <c r="J25" s="145"/>
      <c r="M25" s="240"/>
      <c r="N25" s="464" t="s">
        <v>424</v>
      </c>
      <c r="O25" s="465" t="s">
        <v>95</v>
      </c>
      <c r="P25" s="465" t="s">
        <v>63</v>
      </c>
      <c r="Q25" s="465">
        <v>27129360</v>
      </c>
      <c r="R25" s="465" t="s">
        <v>81</v>
      </c>
      <c r="S25" s="465" t="s">
        <v>210</v>
      </c>
      <c r="T25" s="466">
        <v>43228</v>
      </c>
      <c r="U25" s="465">
        <v>2000</v>
      </c>
      <c r="V25" s="472">
        <v>1</v>
      </c>
      <c r="W25" s="472">
        <v>1</v>
      </c>
      <c r="X25" s="468">
        <v>8000</v>
      </c>
      <c r="Y25" s="465">
        <v>30</v>
      </c>
      <c r="Z25" s="469">
        <f t="shared" si="6"/>
        <v>0.88959332465171137</v>
      </c>
      <c r="AA25" s="470" t="s">
        <v>133</v>
      </c>
      <c r="AB25" s="1079"/>
      <c r="AS25" s="235"/>
      <c r="AT25" s="235"/>
      <c r="AU25" s="235"/>
      <c r="AV25" s="235"/>
      <c r="AW25" s="235"/>
      <c r="AX25" s="235"/>
      <c r="AY25" s="235"/>
      <c r="AZ25" s="235"/>
    </row>
    <row r="26" spans="1:52" s="213" customFormat="1" ht="30" customHeight="1" x14ac:dyDescent="0.25">
      <c r="B26" s="305"/>
      <c r="C26" s="292">
        <f t="shared" si="0"/>
        <v>0</v>
      </c>
      <c r="D26" s="243">
        <f t="shared" si="1"/>
        <v>0</v>
      </c>
      <c r="E26" s="244">
        <f t="shared" si="2"/>
        <v>0</v>
      </c>
      <c r="F26" s="244">
        <f t="shared" si="3"/>
        <v>0</v>
      </c>
      <c r="G26" s="245">
        <f t="shared" si="4"/>
        <v>0</v>
      </c>
      <c r="H26" s="376">
        <f t="shared" si="5"/>
        <v>0</v>
      </c>
      <c r="I26" s="145"/>
      <c r="J26" s="145"/>
      <c r="M26" s="236"/>
      <c r="N26" s="464" t="s">
        <v>124</v>
      </c>
      <c r="O26" s="465" t="s">
        <v>95</v>
      </c>
      <c r="P26" s="465" t="s">
        <v>63</v>
      </c>
      <c r="Q26" s="465">
        <v>27129360</v>
      </c>
      <c r="R26" s="465" t="s">
        <v>82</v>
      </c>
      <c r="S26" s="465" t="s">
        <v>210</v>
      </c>
      <c r="T26" s="466">
        <v>43228</v>
      </c>
      <c r="U26" s="465">
        <v>5000</v>
      </c>
      <c r="V26" s="465">
        <v>3.5</v>
      </c>
      <c r="W26" s="465">
        <v>2.5</v>
      </c>
      <c r="X26" s="468">
        <v>8000</v>
      </c>
      <c r="Y26" s="465">
        <v>30</v>
      </c>
      <c r="Z26" s="469">
        <f t="shared" si="6"/>
        <v>0.88959332465171137</v>
      </c>
      <c r="AA26" s="470" t="s">
        <v>133</v>
      </c>
      <c r="AB26" s="1079"/>
      <c r="AS26" s="235"/>
      <c r="AT26" s="235"/>
      <c r="AU26" s="235"/>
      <c r="AV26" s="235"/>
      <c r="AW26" s="235"/>
      <c r="AX26" s="235"/>
      <c r="AY26" s="235"/>
      <c r="AZ26" s="235"/>
    </row>
    <row r="27" spans="1:52" s="213" customFormat="1" ht="30" customHeight="1" thickBot="1" x14ac:dyDescent="0.3">
      <c r="B27" s="306"/>
      <c r="C27" s="293"/>
      <c r="D27" s="243"/>
      <c r="E27" s="244"/>
      <c r="F27" s="244"/>
      <c r="G27" s="245"/>
      <c r="H27" s="377"/>
      <c r="I27" s="145"/>
      <c r="J27" s="145"/>
      <c r="M27" s="236"/>
      <c r="N27" s="473" t="s">
        <v>425</v>
      </c>
      <c r="O27" s="474" t="s">
        <v>95</v>
      </c>
      <c r="P27" s="474" t="s">
        <v>63</v>
      </c>
      <c r="Q27" s="474">
        <v>27129360</v>
      </c>
      <c r="R27" s="474" t="s">
        <v>83</v>
      </c>
      <c r="S27" s="474" t="s">
        <v>210</v>
      </c>
      <c r="T27" s="475">
        <v>43228</v>
      </c>
      <c r="U27" s="474">
        <v>10000</v>
      </c>
      <c r="V27" s="474">
        <v>8.1999999999999993</v>
      </c>
      <c r="W27" s="476">
        <v>5</v>
      </c>
      <c r="X27" s="477">
        <v>8000</v>
      </c>
      <c r="Y27" s="474">
        <v>30</v>
      </c>
      <c r="Z27" s="478">
        <f t="shared" si="6"/>
        <v>0.88959332465171137</v>
      </c>
      <c r="AA27" s="479"/>
      <c r="AB27" s="1080"/>
      <c r="AS27" s="235"/>
      <c r="AT27" s="235"/>
      <c r="AU27" s="235"/>
      <c r="AV27" s="235"/>
      <c r="AW27" s="235"/>
      <c r="AX27" s="236"/>
      <c r="AY27" s="235"/>
      <c r="AZ27" s="235"/>
    </row>
    <row r="28" spans="1:52" s="213" customFormat="1" ht="30" customHeight="1" thickBot="1" x14ac:dyDescent="0.3">
      <c r="B28" s="307"/>
      <c r="C28" s="294"/>
      <c r="D28" s="287"/>
      <c r="E28" s="286"/>
      <c r="F28" s="288"/>
      <c r="G28" s="289"/>
      <c r="H28" s="378"/>
      <c r="I28" s="145"/>
      <c r="J28" s="145"/>
      <c r="M28" s="236"/>
      <c r="N28" s="443" t="s">
        <v>125</v>
      </c>
      <c r="O28" s="550" t="s">
        <v>96</v>
      </c>
      <c r="P28" s="550" t="s">
        <v>88</v>
      </c>
      <c r="Q28" s="550">
        <v>11119467</v>
      </c>
      <c r="R28" s="550">
        <v>10</v>
      </c>
      <c r="S28" s="550" t="s">
        <v>258</v>
      </c>
      <c r="T28" s="551">
        <v>43670</v>
      </c>
      <c r="U28" s="550">
        <v>10000</v>
      </c>
      <c r="V28" s="550">
        <v>7</v>
      </c>
      <c r="W28" s="550">
        <v>16</v>
      </c>
      <c r="X28" s="552">
        <v>7950</v>
      </c>
      <c r="Y28" s="550">
        <v>140</v>
      </c>
      <c r="Z28" s="553">
        <f>(0.34848*((752.6+754.6)/2)-0.009*((47.3+47.4)/2)*EXP(0.0612*((20.5+20.6)/2)))/(273.15+((20.5+20.6)/2))</f>
        <v>0.88905577474221076</v>
      </c>
      <c r="AA28" s="554" t="s">
        <v>135</v>
      </c>
      <c r="AB28" s="675">
        <v>2</v>
      </c>
      <c r="AS28" s="235"/>
      <c r="AT28" s="235"/>
      <c r="AU28" s="235"/>
      <c r="AV28" s="235"/>
      <c r="AW28" s="235"/>
      <c r="AX28" s="236"/>
      <c r="AY28" s="235"/>
      <c r="AZ28" s="235"/>
    </row>
    <row r="29" spans="1:52" ht="30" customHeight="1" thickBot="1" x14ac:dyDescent="0.3">
      <c r="A29" s="155"/>
      <c r="B29" s="155"/>
      <c r="C29" s="145"/>
      <c r="D29" s="145"/>
      <c r="E29" s="145"/>
      <c r="F29" s="145"/>
      <c r="G29" s="145"/>
      <c r="H29" s="145"/>
      <c r="I29" s="145"/>
      <c r="J29" s="145"/>
      <c r="K29" s="157"/>
      <c r="L29" s="157"/>
      <c r="M29" s="157"/>
      <c r="N29" s="445" t="s">
        <v>126</v>
      </c>
      <c r="O29" s="446" t="s">
        <v>96</v>
      </c>
      <c r="P29" s="446" t="s">
        <v>88</v>
      </c>
      <c r="Q29" s="446">
        <v>11119468</v>
      </c>
      <c r="R29" s="446">
        <v>20</v>
      </c>
      <c r="S29" s="446" t="s">
        <v>259</v>
      </c>
      <c r="T29" s="447">
        <v>43692</v>
      </c>
      <c r="U29" s="446">
        <v>20000</v>
      </c>
      <c r="V29" s="446">
        <v>-4</v>
      </c>
      <c r="W29" s="446">
        <v>30</v>
      </c>
      <c r="X29" s="555">
        <v>7950</v>
      </c>
      <c r="Y29" s="446">
        <v>140</v>
      </c>
      <c r="Z29" s="556">
        <f>(0.34848*((754.3+754.5)/2)-0.009*((46.7+46.8)/2)*EXP(0.0612*((21.4+21.5)/2)))/(273.15+((21.4+21.5)/2))</f>
        <v>0.88706605862447319</v>
      </c>
      <c r="AA29" s="448" t="s">
        <v>136</v>
      </c>
      <c r="AB29" s="676">
        <v>2</v>
      </c>
      <c r="AQ29" s="154"/>
      <c r="AR29" s="145"/>
      <c r="AS29" s="145"/>
      <c r="AT29" s="145"/>
      <c r="AU29" s="145"/>
      <c r="AV29" s="145"/>
      <c r="AW29" s="145"/>
      <c r="AX29" s="154"/>
      <c r="AY29" s="145"/>
      <c r="AZ29" s="145"/>
    </row>
    <row r="30" spans="1:52" ht="30" customHeight="1" x14ac:dyDescent="0.25">
      <c r="A30" s="154"/>
      <c r="B30" s="158"/>
      <c r="C30" s="151"/>
      <c r="D30" s="157"/>
      <c r="E30" s="151"/>
      <c r="F30" s="151"/>
      <c r="G30" s="157"/>
      <c r="H30" s="157"/>
      <c r="I30" s="157"/>
      <c r="J30" s="159"/>
      <c r="K30" s="157"/>
      <c r="L30" s="151"/>
      <c r="M30" s="151"/>
      <c r="N30" s="457" t="s">
        <v>97</v>
      </c>
      <c r="O30" s="480" t="s">
        <v>96</v>
      </c>
      <c r="P30" s="480" t="s">
        <v>88</v>
      </c>
      <c r="Q30" s="480">
        <v>11119515</v>
      </c>
      <c r="R30" s="480">
        <v>1</v>
      </c>
      <c r="S30" s="481" t="s">
        <v>212</v>
      </c>
      <c r="T30" s="482">
        <v>43252</v>
      </c>
      <c r="U30" s="480">
        <v>1</v>
      </c>
      <c r="V30" s="480">
        <v>0.04</v>
      </c>
      <c r="W30" s="480">
        <v>0.03</v>
      </c>
      <c r="X30" s="483">
        <v>7950</v>
      </c>
      <c r="Y30" s="480">
        <v>140</v>
      </c>
      <c r="Z30" s="484">
        <f t="shared" ref="Z30:Z45" si="7">(0.34848*((750.7+754.5)/2)-0.009*((52.2+58.7)/2)*EXP(0.0612*((20+20.6)/2)))/(273.15+((20+20.6)/2))</f>
        <v>0.88784273101984279</v>
      </c>
      <c r="AA30" s="485" t="s">
        <v>134</v>
      </c>
      <c r="AB30" s="1078">
        <v>2</v>
      </c>
      <c r="AQ30" s="154"/>
      <c r="AR30" s="145"/>
      <c r="AS30" s="145"/>
      <c r="AT30" s="145"/>
      <c r="AU30" s="145"/>
      <c r="AV30" s="145"/>
      <c r="AW30" s="145"/>
      <c r="AX30" s="154"/>
      <c r="AY30" s="145"/>
      <c r="AZ30" s="145"/>
    </row>
    <row r="31" spans="1:52" ht="30" customHeight="1" thickBot="1" x14ac:dyDescent="0.3">
      <c r="A31" s="145"/>
      <c r="B31" s="155"/>
      <c r="C31" s="145"/>
      <c r="D31" s="145"/>
      <c r="E31" s="145"/>
      <c r="F31" s="145"/>
      <c r="G31" s="145"/>
      <c r="H31" s="145"/>
      <c r="I31" s="145"/>
      <c r="J31" s="156"/>
      <c r="K31" s="145"/>
      <c r="L31" s="151"/>
      <c r="M31" s="151"/>
      <c r="N31" s="464" t="s">
        <v>98</v>
      </c>
      <c r="O31" s="481" t="s">
        <v>96</v>
      </c>
      <c r="P31" s="481" t="s">
        <v>88</v>
      </c>
      <c r="Q31" s="481">
        <v>11119515</v>
      </c>
      <c r="R31" s="481">
        <v>2</v>
      </c>
      <c r="S31" s="481" t="s">
        <v>212</v>
      </c>
      <c r="T31" s="486">
        <v>43252</v>
      </c>
      <c r="U31" s="481">
        <v>2</v>
      </c>
      <c r="V31" s="481">
        <v>0.04</v>
      </c>
      <c r="W31" s="481">
        <v>0.04</v>
      </c>
      <c r="X31" s="487">
        <v>7950</v>
      </c>
      <c r="Y31" s="481">
        <v>140</v>
      </c>
      <c r="Z31" s="488">
        <f t="shared" si="7"/>
        <v>0.88784273101984279</v>
      </c>
      <c r="AA31" s="489" t="s">
        <v>134</v>
      </c>
      <c r="AB31" s="1079">
        <v>2</v>
      </c>
      <c r="AQ31" s="154"/>
      <c r="AR31" s="145"/>
      <c r="AS31" s="145"/>
      <c r="AT31" s="145"/>
      <c r="AU31" s="145"/>
      <c r="AV31" s="145"/>
      <c r="AW31" s="145"/>
      <c r="AX31" s="154"/>
      <c r="AY31" s="145"/>
      <c r="AZ31" s="145"/>
    </row>
    <row r="32" spans="1:52" ht="30" customHeight="1" x14ac:dyDescent="0.25">
      <c r="A32" s="145"/>
      <c r="B32" s="1070" t="s">
        <v>294</v>
      </c>
      <c r="C32" s="1071"/>
      <c r="D32" s="1071"/>
      <c r="E32" s="1071"/>
      <c r="F32" s="1071"/>
      <c r="G32" s="1071"/>
      <c r="H32" s="1071"/>
      <c r="I32" s="1071"/>
      <c r="J32" s="1072"/>
      <c r="L32" s="151"/>
      <c r="M32" s="151"/>
      <c r="N32" s="464" t="s">
        <v>99</v>
      </c>
      <c r="O32" s="481" t="s">
        <v>96</v>
      </c>
      <c r="P32" s="481" t="s">
        <v>88</v>
      </c>
      <c r="Q32" s="481">
        <v>11119515</v>
      </c>
      <c r="R32" s="481" t="s">
        <v>84</v>
      </c>
      <c r="S32" s="481" t="s">
        <v>212</v>
      </c>
      <c r="T32" s="486">
        <v>43252</v>
      </c>
      <c r="U32" s="481">
        <v>2</v>
      </c>
      <c r="V32" s="481">
        <v>0.06</v>
      </c>
      <c r="W32" s="481">
        <v>0.04</v>
      </c>
      <c r="X32" s="487">
        <v>7950</v>
      </c>
      <c r="Y32" s="481">
        <v>140</v>
      </c>
      <c r="Z32" s="488">
        <f t="shared" si="7"/>
        <v>0.88784273101984279</v>
      </c>
      <c r="AA32" s="489" t="str">
        <f>AA31</f>
        <v>M-002</v>
      </c>
      <c r="AB32" s="1079"/>
      <c r="AR32" s="145"/>
      <c r="AS32" s="145"/>
      <c r="AT32" s="145"/>
      <c r="AU32" s="145"/>
      <c r="AV32" s="145"/>
      <c r="AW32" s="145"/>
      <c r="AX32" s="154"/>
      <c r="AY32" s="145"/>
      <c r="AZ32" s="145"/>
    </row>
    <row r="33" spans="1:52" ht="30" customHeight="1" thickBot="1" x14ac:dyDescent="0.3">
      <c r="A33" s="145"/>
      <c r="B33" s="1073"/>
      <c r="C33" s="1074"/>
      <c r="D33" s="1074"/>
      <c r="E33" s="1074"/>
      <c r="F33" s="1074"/>
      <c r="G33" s="1074"/>
      <c r="H33" s="1074"/>
      <c r="I33" s="1074"/>
      <c r="J33" s="1075"/>
      <c r="L33" s="151"/>
      <c r="M33" s="151"/>
      <c r="N33" s="464" t="s">
        <v>100</v>
      </c>
      <c r="O33" s="481" t="s">
        <v>96</v>
      </c>
      <c r="P33" s="481" t="s">
        <v>88</v>
      </c>
      <c r="Q33" s="481">
        <v>11119515</v>
      </c>
      <c r="R33" s="481">
        <v>5</v>
      </c>
      <c r="S33" s="481" t="s">
        <v>212</v>
      </c>
      <c r="T33" s="486">
        <v>43252</v>
      </c>
      <c r="U33" s="481">
        <v>5</v>
      </c>
      <c r="V33" s="490">
        <v>0.01</v>
      </c>
      <c r="W33" s="481">
        <v>0.05</v>
      </c>
      <c r="X33" s="487">
        <v>7950</v>
      </c>
      <c r="Y33" s="481">
        <v>140</v>
      </c>
      <c r="Z33" s="488">
        <f t="shared" si="7"/>
        <v>0.88784273101984279</v>
      </c>
      <c r="AA33" s="489" t="s">
        <v>134</v>
      </c>
      <c r="AB33" s="1079"/>
      <c r="AR33" s="145"/>
      <c r="AS33" s="145"/>
      <c r="AT33" s="145"/>
      <c r="AU33" s="145"/>
      <c r="AV33" s="145"/>
      <c r="AW33" s="145"/>
      <c r="AX33" s="154"/>
      <c r="AY33" s="145"/>
      <c r="AZ33" s="145"/>
    </row>
    <row r="34" spans="1:52" ht="30" customHeight="1" x14ac:dyDescent="0.25">
      <c r="A34" s="145"/>
      <c r="B34" s="1045" t="s">
        <v>4</v>
      </c>
      <c r="C34" s="1058" t="s">
        <v>13</v>
      </c>
      <c r="D34" s="1058" t="s">
        <v>8</v>
      </c>
      <c r="E34" s="1058" t="s">
        <v>14</v>
      </c>
      <c r="F34" s="1058" t="s">
        <v>15</v>
      </c>
      <c r="G34" s="1058" t="s">
        <v>269</v>
      </c>
      <c r="H34" s="1058" t="s">
        <v>270</v>
      </c>
      <c r="I34" s="1058" t="s">
        <v>271</v>
      </c>
      <c r="J34" s="1060" t="s">
        <v>250</v>
      </c>
      <c r="K34" s="1062"/>
      <c r="L34" s="151"/>
      <c r="M34" s="151"/>
      <c r="N34" s="464" t="s">
        <v>101</v>
      </c>
      <c r="O34" s="481" t="s">
        <v>96</v>
      </c>
      <c r="P34" s="481" t="s">
        <v>88</v>
      </c>
      <c r="Q34" s="481">
        <v>11119515</v>
      </c>
      <c r="R34" s="481">
        <v>10</v>
      </c>
      <c r="S34" s="481" t="s">
        <v>212</v>
      </c>
      <c r="T34" s="486">
        <v>43252</v>
      </c>
      <c r="U34" s="481">
        <v>10</v>
      </c>
      <c r="V34" s="481">
        <v>7.0000000000000007E-2</v>
      </c>
      <c r="W34" s="481">
        <v>0.06</v>
      </c>
      <c r="X34" s="487">
        <v>7950</v>
      </c>
      <c r="Y34" s="481">
        <v>140</v>
      </c>
      <c r="Z34" s="488">
        <f t="shared" si="7"/>
        <v>0.88784273101984279</v>
      </c>
      <c r="AA34" s="489" t="s">
        <v>134</v>
      </c>
      <c r="AB34" s="1079"/>
      <c r="AR34" s="145"/>
      <c r="AS34" s="145"/>
      <c r="AT34" s="145"/>
      <c r="AU34" s="145"/>
      <c r="AV34" s="145"/>
      <c r="AW34" s="145"/>
      <c r="AX34" s="151"/>
      <c r="AY34" s="145"/>
      <c r="AZ34" s="145"/>
    </row>
    <row r="35" spans="1:52" ht="30" customHeight="1" thickBot="1" x14ac:dyDescent="0.3">
      <c r="A35" s="145"/>
      <c r="B35" s="1046"/>
      <c r="C35" s="1059"/>
      <c r="D35" s="1059"/>
      <c r="E35" s="1059"/>
      <c r="F35" s="1059"/>
      <c r="G35" s="1059"/>
      <c r="H35" s="1059"/>
      <c r="I35" s="1059"/>
      <c r="J35" s="1061"/>
      <c r="K35" s="1062"/>
      <c r="L35" s="151"/>
      <c r="M35" s="151"/>
      <c r="N35" s="464" t="s">
        <v>102</v>
      </c>
      <c r="O35" s="481" t="s">
        <v>96</v>
      </c>
      <c r="P35" s="481" t="s">
        <v>88</v>
      </c>
      <c r="Q35" s="481">
        <v>11119515</v>
      </c>
      <c r="R35" s="481">
        <v>20</v>
      </c>
      <c r="S35" s="481" t="s">
        <v>212</v>
      </c>
      <c r="T35" s="486">
        <v>43252</v>
      </c>
      <c r="U35" s="481">
        <v>20</v>
      </c>
      <c r="V35" s="481">
        <v>0.08</v>
      </c>
      <c r="W35" s="481">
        <v>0.08</v>
      </c>
      <c r="X35" s="487">
        <v>7950</v>
      </c>
      <c r="Y35" s="481">
        <v>140</v>
      </c>
      <c r="Z35" s="488">
        <f t="shared" si="7"/>
        <v>0.88784273101984279</v>
      </c>
      <c r="AA35" s="489" t="str">
        <f>AA34</f>
        <v>M-002</v>
      </c>
      <c r="AB35" s="1079"/>
      <c r="AR35" s="145"/>
      <c r="AS35" s="145"/>
      <c r="AT35" s="145"/>
      <c r="AU35" s="145"/>
      <c r="AV35" s="145"/>
      <c r="AW35" s="145"/>
      <c r="AX35" s="151"/>
      <c r="AY35" s="145"/>
      <c r="AZ35" s="145"/>
    </row>
    <row r="36" spans="1:52" ht="30" customHeight="1" thickBot="1" x14ac:dyDescent="0.3">
      <c r="A36" s="145"/>
      <c r="B36" s="160"/>
      <c r="C36" s="151"/>
      <c r="D36" s="151"/>
      <c r="E36" s="151"/>
      <c r="F36" s="151"/>
      <c r="G36" s="151"/>
      <c r="H36" s="151"/>
      <c r="I36" s="151"/>
      <c r="J36" s="161"/>
      <c r="K36" s="162"/>
      <c r="L36" s="151"/>
      <c r="M36" s="151"/>
      <c r="N36" s="464" t="s">
        <v>103</v>
      </c>
      <c r="O36" s="481" t="s">
        <v>96</v>
      </c>
      <c r="P36" s="481" t="s">
        <v>88</v>
      </c>
      <c r="Q36" s="481">
        <v>11119515</v>
      </c>
      <c r="R36" s="481" t="s">
        <v>85</v>
      </c>
      <c r="S36" s="481" t="s">
        <v>212</v>
      </c>
      <c r="T36" s="486">
        <v>43252</v>
      </c>
      <c r="U36" s="481">
        <v>20</v>
      </c>
      <c r="V36" s="481">
        <v>7.0000000000000007E-2</v>
      </c>
      <c r="W36" s="481">
        <v>0.08</v>
      </c>
      <c r="X36" s="487">
        <v>7950</v>
      </c>
      <c r="Y36" s="481">
        <v>140</v>
      </c>
      <c r="Z36" s="488">
        <f t="shared" si="7"/>
        <v>0.88784273101984279</v>
      </c>
      <c r="AA36" s="489" t="s">
        <v>134</v>
      </c>
      <c r="AB36" s="1079"/>
      <c r="AR36" s="145"/>
      <c r="AS36" s="145"/>
      <c r="AT36" s="145"/>
      <c r="AU36" s="145"/>
      <c r="AV36" s="145"/>
      <c r="AW36" s="145"/>
      <c r="AX36" s="151"/>
      <c r="AY36" s="145"/>
      <c r="AZ36" s="145"/>
    </row>
    <row r="37" spans="1:52" ht="30" customHeight="1" thickBot="1" x14ac:dyDescent="0.3">
      <c r="A37" s="1069"/>
      <c r="B37" s="703" t="s">
        <v>179</v>
      </c>
      <c r="C37" s="704"/>
      <c r="D37" s="705"/>
      <c r="E37" s="706"/>
      <c r="F37" s="707"/>
      <c r="G37" s="708"/>
      <c r="H37" s="709"/>
      <c r="I37" s="706"/>
      <c r="J37" s="710">
        <f>H7</f>
        <v>0</v>
      </c>
      <c r="K37" s="163"/>
      <c r="L37" s="151"/>
      <c r="M37" s="151"/>
      <c r="N37" s="464" t="s">
        <v>104</v>
      </c>
      <c r="O37" s="481" t="s">
        <v>96</v>
      </c>
      <c r="P37" s="481" t="s">
        <v>88</v>
      </c>
      <c r="Q37" s="481">
        <v>11119515</v>
      </c>
      <c r="R37" s="481">
        <v>50</v>
      </c>
      <c r="S37" s="481" t="s">
        <v>212</v>
      </c>
      <c r="T37" s="486">
        <v>43252</v>
      </c>
      <c r="U37" s="481">
        <v>50</v>
      </c>
      <c r="V37" s="481">
        <v>0.13</v>
      </c>
      <c r="W37" s="490">
        <v>0.1</v>
      </c>
      <c r="X37" s="487">
        <v>7950</v>
      </c>
      <c r="Y37" s="481">
        <v>140</v>
      </c>
      <c r="Z37" s="488">
        <f t="shared" si="7"/>
        <v>0.88784273101984279</v>
      </c>
      <c r="AA37" s="489" t="s">
        <v>134</v>
      </c>
      <c r="AB37" s="1079"/>
      <c r="AR37" s="145"/>
      <c r="AS37" s="145"/>
      <c r="AT37" s="145"/>
      <c r="AU37" s="145"/>
      <c r="AV37" s="145"/>
      <c r="AW37" s="145"/>
      <c r="AX37" s="151"/>
      <c r="AY37" s="145"/>
      <c r="AZ37" s="145"/>
    </row>
    <row r="38" spans="1:52" ht="30" customHeight="1" x14ac:dyDescent="0.25">
      <c r="A38" s="1069"/>
      <c r="B38" s="714" t="s">
        <v>180</v>
      </c>
      <c r="C38" s="715">
        <f>$C$37</f>
        <v>0</v>
      </c>
      <c r="D38" s="716">
        <f>$D$37</f>
        <v>0</v>
      </c>
      <c r="E38" s="717">
        <f>$E$37</f>
        <v>0</v>
      </c>
      <c r="F38" s="718"/>
      <c r="G38" s="719">
        <v>2</v>
      </c>
      <c r="H38" s="720">
        <f>$H$37</f>
        <v>0</v>
      </c>
      <c r="I38" s="717">
        <f>$I$37</f>
        <v>0</v>
      </c>
      <c r="J38" s="721">
        <f>$J$37</f>
        <v>0</v>
      </c>
      <c r="K38" s="162"/>
      <c r="L38" s="151"/>
      <c r="M38" s="151"/>
      <c r="N38" s="464" t="s">
        <v>105</v>
      </c>
      <c r="O38" s="481" t="s">
        <v>96</v>
      </c>
      <c r="P38" s="481" t="s">
        <v>88</v>
      </c>
      <c r="Q38" s="481">
        <v>11119515</v>
      </c>
      <c r="R38" s="481">
        <v>100</v>
      </c>
      <c r="S38" s="481" t="s">
        <v>212</v>
      </c>
      <c r="T38" s="486">
        <v>43252</v>
      </c>
      <c r="U38" s="481">
        <v>100</v>
      </c>
      <c r="V38" s="481">
        <v>0.14000000000000001</v>
      </c>
      <c r="W38" s="481">
        <v>0.16</v>
      </c>
      <c r="X38" s="487">
        <v>7950</v>
      </c>
      <c r="Y38" s="481">
        <v>140</v>
      </c>
      <c r="Z38" s="488">
        <f t="shared" si="7"/>
        <v>0.88784273101984279</v>
      </c>
      <c r="AA38" s="489" t="str">
        <f>AA37</f>
        <v>M-002</v>
      </c>
      <c r="AB38" s="1079"/>
      <c r="AR38" s="145"/>
      <c r="AS38" s="145"/>
      <c r="AT38" s="145"/>
      <c r="AU38" s="145"/>
      <c r="AV38" s="145"/>
      <c r="AW38" s="145"/>
      <c r="AX38" s="151"/>
      <c r="AY38" s="145"/>
      <c r="AZ38" s="145"/>
    </row>
    <row r="39" spans="1:52" ht="30" customHeight="1" x14ac:dyDescent="0.25">
      <c r="A39" s="1069"/>
      <c r="B39" s="722" t="s">
        <v>181</v>
      </c>
      <c r="C39" s="711">
        <f t="shared" ref="C39:C54" si="8">$C$37</f>
        <v>0</v>
      </c>
      <c r="D39" s="273">
        <f t="shared" ref="D39:D54" si="9">$D$37</f>
        <v>0</v>
      </c>
      <c r="E39" s="272">
        <f t="shared" ref="E39:E54" si="10">$E$37</f>
        <v>0</v>
      </c>
      <c r="F39" s="271"/>
      <c r="G39" s="308">
        <v>2</v>
      </c>
      <c r="H39" s="274">
        <f t="shared" ref="H39:H54" si="11">$H$37</f>
        <v>0</v>
      </c>
      <c r="I39" s="272">
        <f t="shared" ref="I39:I54" si="12">$I$37</f>
        <v>0</v>
      </c>
      <c r="J39" s="275">
        <f t="shared" ref="J39:J54" si="13">$J$37</f>
        <v>0</v>
      </c>
      <c r="K39" s="162"/>
      <c r="L39" s="151"/>
      <c r="M39" s="151"/>
      <c r="N39" s="464" t="s">
        <v>106</v>
      </c>
      <c r="O39" s="481" t="s">
        <v>96</v>
      </c>
      <c r="P39" s="481" t="s">
        <v>88</v>
      </c>
      <c r="Q39" s="481">
        <v>11119515</v>
      </c>
      <c r="R39" s="481">
        <v>200</v>
      </c>
      <c r="S39" s="481" t="s">
        <v>212</v>
      </c>
      <c r="T39" s="486">
        <v>43252</v>
      </c>
      <c r="U39" s="481">
        <v>200</v>
      </c>
      <c r="V39" s="481">
        <v>0.3</v>
      </c>
      <c r="W39" s="481">
        <v>0.3</v>
      </c>
      <c r="X39" s="487">
        <v>7950</v>
      </c>
      <c r="Y39" s="481">
        <v>140</v>
      </c>
      <c r="Z39" s="488">
        <f t="shared" si="7"/>
        <v>0.88784273101984279</v>
      </c>
      <c r="AA39" s="489" t="s">
        <v>134</v>
      </c>
      <c r="AB39" s="1079"/>
      <c r="AR39" s="145"/>
      <c r="AS39" s="145"/>
      <c r="AT39" s="145"/>
      <c r="AU39" s="145"/>
      <c r="AV39" s="145"/>
      <c r="AW39" s="145"/>
      <c r="AX39" s="151"/>
      <c r="AY39" s="145"/>
      <c r="AZ39" s="145"/>
    </row>
    <row r="40" spans="1:52" ht="30" customHeight="1" x14ac:dyDescent="0.25">
      <c r="A40" s="1069"/>
      <c r="B40" s="722" t="s">
        <v>182</v>
      </c>
      <c r="C40" s="711">
        <f t="shared" si="8"/>
        <v>0</v>
      </c>
      <c r="D40" s="273">
        <f t="shared" si="9"/>
        <v>0</v>
      </c>
      <c r="E40" s="272">
        <f t="shared" si="10"/>
        <v>0</v>
      </c>
      <c r="F40" s="271"/>
      <c r="G40" s="308">
        <v>5</v>
      </c>
      <c r="H40" s="274">
        <f t="shared" si="11"/>
        <v>0</v>
      </c>
      <c r="I40" s="272">
        <f t="shared" si="12"/>
        <v>0</v>
      </c>
      <c r="J40" s="275">
        <f t="shared" si="13"/>
        <v>0</v>
      </c>
      <c r="K40" s="162"/>
      <c r="L40" s="151"/>
      <c r="M40" s="151"/>
      <c r="N40" s="464" t="s">
        <v>107</v>
      </c>
      <c r="O40" s="481" t="s">
        <v>96</v>
      </c>
      <c r="P40" s="481" t="s">
        <v>88</v>
      </c>
      <c r="Q40" s="481">
        <v>11119515</v>
      </c>
      <c r="R40" s="481" t="s">
        <v>86</v>
      </c>
      <c r="S40" s="481" t="s">
        <v>212</v>
      </c>
      <c r="T40" s="486">
        <v>43252</v>
      </c>
      <c r="U40" s="481">
        <v>200</v>
      </c>
      <c r="V40" s="481">
        <v>0.2</v>
      </c>
      <c r="W40" s="481">
        <v>0.3</v>
      </c>
      <c r="X40" s="487">
        <v>7950</v>
      </c>
      <c r="Y40" s="481">
        <v>140</v>
      </c>
      <c r="Z40" s="488">
        <f t="shared" si="7"/>
        <v>0.88784273101984279</v>
      </c>
      <c r="AA40" s="489" t="s">
        <v>134</v>
      </c>
      <c r="AB40" s="1079"/>
      <c r="AR40" s="145"/>
      <c r="AS40" s="145"/>
      <c r="AT40" s="145"/>
      <c r="AU40" s="145"/>
      <c r="AV40" s="145"/>
      <c r="AW40" s="145"/>
      <c r="AX40" s="151"/>
      <c r="AY40" s="145"/>
      <c r="AZ40" s="145"/>
    </row>
    <row r="41" spans="1:52" ht="30" customHeight="1" x14ac:dyDescent="0.25">
      <c r="A41" s="270"/>
      <c r="B41" s="722" t="s">
        <v>183</v>
      </c>
      <c r="C41" s="711">
        <f t="shared" si="8"/>
        <v>0</v>
      </c>
      <c r="D41" s="273">
        <f t="shared" si="9"/>
        <v>0</v>
      </c>
      <c r="E41" s="272">
        <f t="shared" si="10"/>
        <v>0</v>
      </c>
      <c r="F41" s="271"/>
      <c r="G41" s="308">
        <v>10</v>
      </c>
      <c r="H41" s="274">
        <f t="shared" si="11"/>
        <v>0</v>
      </c>
      <c r="I41" s="272">
        <f t="shared" si="12"/>
        <v>0</v>
      </c>
      <c r="J41" s="275">
        <f t="shared" si="13"/>
        <v>0</v>
      </c>
      <c r="K41" s="162"/>
      <c r="L41" s="151"/>
      <c r="M41" s="151"/>
      <c r="N41" s="464" t="s">
        <v>108</v>
      </c>
      <c r="O41" s="481" t="s">
        <v>96</v>
      </c>
      <c r="P41" s="481" t="s">
        <v>88</v>
      </c>
      <c r="Q41" s="481">
        <v>11119515</v>
      </c>
      <c r="R41" s="481">
        <v>500</v>
      </c>
      <c r="S41" s="481" t="s">
        <v>212</v>
      </c>
      <c r="T41" s="486">
        <v>43252</v>
      </c>
      <c r="U41" s="481">
        <v>500</v>
      </c>
      <c r="V41" s="481">
        <v>0.8</v>
      </c>
      <c r="W41" s="481">
        <v>0.8</v>
      </c>
      <c r="X41" s="487">
        <v>7950</v>
      </c>
      <c r="Y41" s="481">
        <v>140</v>
      </c>
      <c r="Z41" s="488">
        <f t="shared" si="7"/>
        <v>0.88784273101984279</v>
      </c>
      <c r="AA41" s="489" t="str">
        <f>AA40</f>
        <v>M-002</v>
      </c>
      <c r="AB41" s="1079"/>
      <c r="AR41" s="145"/>
      <c r="AS41" s="145"/>
      <c r="AT41" s="145"/>
      <c r="AU41" s="145"/>
      <c r="AV41" s="145"/>
      <c r="AW41" s="145"/>
      <c r="AX41" s="151"/>
      <c r="AY41" s="145"/>
      <c r="AZ41" s="145"/>
    </row>
    <row r="42" spans="1:52" ht="30" customHeight="1" x14ac:dyDescent="0.25">
      <c r="A42" s="270"/>
      <c r="B42" s="723" t="s">
        <v>184</v>
      </c>
      <c r="C42" s="711">
        <f t="shared" si="8"/>
        <v>0</v>
      </c>
      <c r="D42" s="273">
        <f t="shared" si="9"/>
        <v>0</v>
      </c>
      <c r="E42" s="272">
        <f t="shared" si="10"/>
        <v>0</v>
      </c>
      <c r="F42" s="271"/>
      <c r="G42" s="308">
        <v>20</v>
      </c>
      <c r="H42" s="274">
        <f t="shared" si="11"/>
        <v>0</v>
      </c>
      <c r="I42" s="272">
        <f t="shared" si="12"/>
        <v>0</v>
      </c>
      <c r="J42" s="275">
        <f t="shared" si="13"/>
        <v>0</v>
      </c>
      <c r="K42" s="162"/>
      <c r="L42" s="151"/>
      <c r="M42" s="151"/>
      <c r="N42" s="464" t="s">
        <v>109</v>
      </c>
      <c r="O42" s="481" t="s">
        <v>96</v>
      </c>
      <c r="P42" s="481" t="s">
        <v>88</v>
      </c>
      <c r="Q42" s="481">
        <v>11119515</v>
      </c>
      <c r="R42" s="481">
        <v>1</v>
      </c>
      <c r="S42" s="481" t="s">
        <v>212</v>
      </c>
      <c r="T42" s="486">
        <v>43252</v>
      </c>
      <c r="U42" s="491">
        <v>1000</v>
      </c>
      <c r="V42" s="481">
        <v>1.9</v>
      </c>
      <c r="W42" s="481">
        <v>1.6</v>
      </c>
      <c r="X42" s="487">
        <v>7950</v>
      </c>
      <c r="Y42" s="481">
        <v>140</v>
      </c>
      <c r="Z42" s="488">
        <f t="shared" si="7"/>
        <v>0.88784273101984279</v>
      </c>
      <c r="AA42" s="489" t="s">
        <v>134</v>
      </c>
      <c r="AB42" s="1079"/>
      <c r="AR42" s="145"/>
      <c r="AS42" s="145"/>
      <c r="AT42" s="145"/>
      <c r="AU42" s="145"/>
      <c r="AV42" s="145"/>
      <c r="AW42" s="145"/>
      <c r="AX42" s="151"/>
      <c r="AY42" s="145"/>
      <c r="AZ42" s="145"/>
    </row>
    <row r="43" spans="1:52" ht="30" customHeight="1" x14ac:dyDescent="0.25">
      <c r="A43" s="270"/>
      <c r="B43" s="724" t="s">
        <v>185</v>
      </c>
      <c r="C43" s="711">
        <f t="shared" si="8"/>
        <v>0</v>
      </c>
      <c r="D43" s="273">
        <f t="shared" si="9"/>
        <v>0</v>
      </c>
      <c r="E43" s="272">
        <f t="shared" si="10"/>
        <v>0</v>
      </c>
      <c r="F43" s="271"/>
      <c r="G43" s="308">
        <v>20</v>
      </c>
      <c r="H43" s="274">
        <f t="shared" si="11"/>
        <v>0</v>
      </c>
      <c r="I43" s="272">
        <f t="shared" si="12"/>
        <v>0</v>
      </c>
      <c r="J43" s="275">
        <f t="shared" si="13"/>
        <v>0</v>
      </c>
      <c r="K43" s="162"/>
      <c r="L43" s="151"/>
      <c r="M43" s="151"/>
      <c r="N43" s="464" t="s">
        <v>110</v>
      </c>
      <c r="O43" s="481" t="s">
        <v>96</v>
      </c>
      <c r="P43" s="481" t="s">
        <v>88</v>
      </c>
      <c r="Q43" s="481">
        <v>11119515</v>
      </c>
      <c r="R43" s="481">
        <v>2</v>
      </c>
      <c r="S43" s="481" t="s">
        <v>212</v>
      </c>
      <c r="T43" s="486">
        <v>43252</v>
      </c>
      <c r="U43" s="491">
        <v>2000</v>
      </c>
      <c r="V43" s="492">
        <v>1.9</v>
      </c>
      <c r="W43" s="492">
        <v>3</v>
      </c>
      <c r="X43" s="487">
        <v>7950</v>
      </c>
      <c r="Y43" s="481">
        <v>140</v>
      </c>
      <c r="Z43" s="488">
        <f t="shared" si="7"/>
        <v>0.88784273101984279</v>
      </c>
      <c r="AA43" s="489" t="s">
        <v>134</v>
      </c>
      <c r="AB43" s="1079"/>
      <c r="AR43" s="145"/>
      <c r="AS43" s="145"/>
      <c r="AT43" s="145"/>
      <c r="AU43" s="145"/>
      <c r="AV43" s="145"/>
      <c r="AW43" s="145"/>
      <c r="AX43" s="145"/>
      <c r="AY43" s="145"/>
      <c r="AZ43" s="145"/>
    </row>
    <row r="44" spans="1:52" ht="30" customHeight="1" x14ac:dyDescent="0.25">
      <c r="A44" s="270"/>
      <c r="B44" s="723" t="s">
        <v>186</v>
      </c>
      <c r="C44" s="711">
        <f t="shared" si="8"/>
        <v>0</v>
      </c>
      <c r="D44" s="273">
        <f t="shared" si="9"/>
        <v>0</v>
      </c>
      <c r="E44" s="272">
        <f t="shared" si="10"/>
        <v>0</v>
      </c>
      <c r="F44" s="271"/>
      <c r="G44" s="308">
        <v>50</v>
      </c>
      <c r="H44" s="274">
        <f t="shared" si="11"/>
        <v>0</v>
      </c>
      <c r="I44" s="272">
        <f t="shared" si="12"/>
        <v>0</v>
      </c>
      <c r="J44" s="275">
        <f t="shared" si="13"/>
        <v>0</v>
      </c>
      <c r="K44" s="162"/>
      <c r="L44" s="151"/>
      <c r="M44" s="151"/>
      <c r="N44" s="464" t="s">
        <v>111</v>
      </c>
      <c r="O44" s="481" t="s">
        <v>96</v>
      </c>
      <c r="P44" s="481" t="s">
        <v>88</v>
      </c>
      <c r="Q44" s="481">
        <v>11119515</v>
      </c>
      <c r="R44" s="481" t="s">
        <v>84</v>
      </c>
      <c r="S44" s="481" t="s">
        <v>212</v>
      </c>
      <c r="T44" s="486">
        <v>43252</v>
      </c>
      <c r="U44" s="491">
        <v>2000</v>
      </c>
      <c r="V44" s="492">
        <v>2.1</v>
      </c>
      <c r="W44" s="492">
        <v>3</v>
      </c>
      <c r="X44" s="487">
        <v>7950</v>
      </c>
      <c r="Y44" s="481">
        <v>140</v>
      </c>
      <c r="Z44" s="488">
        <f t="shared" si="7"/>
        <v>0.88784273101984279</v>
      </c>
      <c r="AA44" s="489" t="str">
        <f>AA43</f>
        <v>M-002</v>
      </c>
      <c r="AB44" s="1079"/>
      <c r="AR44" s="145"/>
      <c r="AS44" s="145"/>
      <c r="AT44" s="145"/>
      <c r="AU44" s="145"/>
      <c r="AV44" s="145"/>
      <c r="AW44" s="145"/>
      <c r="AX44" s="145"/>
      <c r="AY44" s="145"/>
      <c r="AZ44" s="145"/>
    </row>
    <row r="45" spans="1:52" ht="30" customHeight="1" thickBot="1" x14ac:dyDescent="0.3">
      <c r="A45" s="270"/>
      <c r="B45" s="723" t="s">
        <v>187</v>
      </c>
      <c r="C45" s="711">
        <f t="shared" si="8"/>
        <v>0</v>
      </c>
      <c r="D45" s="273">
        <f t="shared" si="9"/>
        <v>0</v>
      </c>
      <c r="E45" s="272">
        <f t="shared" si="10"/>
        <v>0</v>
      </c>
      <c r="F45" s="271"/>
      <c r="G45" s="308">
        <v>100</v>
      </c>
      <c r="H45" s="274">
        <f t="shared" si="11"/>
        <v>0</v>
      </c>
      <c r="I45" s="272">
        <f t="shared" si="12"/>
        <v>0</v>
      </c>
      <c r="J45" s="275">
        <f t="shared" si="13"/>
        <v>0</v>
      </c>
      <c r="K45" s="162"/>
      <c r="L45" s="151"/>
      <c r="M45" s="151"/>
      <c r="N45" s="473" t="s">
        <v>112</v>
      </c>
      <c r="O45" s="493" t="s">
        <v>96</v>
      </c>
      <c r="P45" s="493" t="s">
        <v>88</v>
      </c>
      <c r="Q45" s="493">
        <v>11119515</v>
      </c>
      <c r="R45" s="493">
        <v>5</v>
      </c>
      <c r="S45" s="493" t="s">
        <v>212</v>
      </c>
      <c r="T45" s="494">
        <v>43252</v>
      </c>
      <c r="U45" s="495">
        <v>5000</v>
      </c>
      <c r="V45" s="493">
        <v>5.8</v>
      </c>
      <c r="W45" s="496">
        <v>8</v>
      </c>
      <c r="X45" s="497">
        <v>7950</v>
      </c>
      <c r="Y45" s="493">
        <v>140</v>
      </c>
      <c r="Z45" s="498">
        <f t="shared" si="7"/>
        <v>0.88784273101984279</v>
      </c>
      <c r="AA45" s="499" t="s">
        <v>134</v>
      </c>
      <c r="AB45" s="1080"/>
      <c r="AR45" s="145"/>
      <c r="AS45" s="145"/>
      <c r="AT45" s="145"/>
      <c r="AU45" s="145"/>
      <c r="AV45" s="145"/>
      <c r="AW45" s="145"/>
      <c r="AX45" s="145"/>
      <c r="AY45" s="145"/>
      <c r="AZ45" s="145"/>
    </row>
    <row r="46" spans="1:52" ht="30" customHeight="1" x14ac:dyDescent="0.25">
      <c r="A46" s="270"/>
      <c r="B46" s="723" t="s">
        <v>188</v>
      </c>
      <c r="C46" s="711">
        <f t="shared" si="8"/>
        <v>0</v>
      </c>
      <c r="D46" s="273">
        <f t="shared" si="9"/>
        <v>0</v>
      </c>
      <c r="E46" s="272">
        <f t="shared" si="10"/>
        <v>0</v>
      </c>
      <c r="F46" s="271"/>
      <c r="G46" s="308">
        <v>200</v>
      </c>
      <c r="H46" s="274">
        <f t="shared" si="11"/>
        <v>0</v>
      </c>
      <c r="I46" s="272">
        <f t="shared" si="12"/>
        <v>0</v>
      </c>
      <c r="J46" s="275">
        <f t="shared" si="13"/>
        <v>0</v>
      </c>
      <c r="K46" s="162"/>
      <c r="L46" s="151"/>
      <c r="M46" s="151"/>
      <c r="N46" s="457" t="s">
        <v>171</v>
      </c>
      <c r="O46" s="480" t="s">
        <v>96</v>
      </c>
      <c r="P46" s="480" t="s">
        <v>87</v>
      </c>
      <c r="Q46" s="480" t="s">
        <v>93</v>
      </c>
      <c r="R46" s="480" t="s">
        <v>92</v>
      </c>
      <c r="S46" s="480" t="s">
        <v>211</v>
      </c>
      <c r="T46" s="500">
        <v>43228</v>
      </c>
      <c r="U46" s="480">
        <v>1</v>
      </c>
      <c r="V46" s="480">
        <v>0.04</v>
      </c>
      <c r="W46" s="501">
        <v>0.03</v>
      </c>
      <c r="X46" s="483">
        <v>7950</v>
      </c>
      <c r="Y46" s="480">
        <v>140</v>
      </c>
      <c r="Z46" s="484">
        <f t="shared" ref="Z46:Z61" si="14">(0.34848*((751.2+755.7)/2)-0.009*((48.4+57.9)/2)*EXP(0.0612*((19.5+20.7)/2)))/(273.15+((19.5+20.7)/2))</f>
        <v>0.88977157529109774</v>
      </c>
      <c r="AA46" s="485" t="s">
        <v>137</v>
      </c>
      <c r="AB46" s="880">
        <v>2</v>
      </c>
      <c r="AR46" s="145"/>
      <c r="AS46" s="145"/>
      <c r="AT46" s="145"/>
      <c r="AU46" s="145"/>
      <c r="AV46" s="145"/>
      <c r="AW46" s="145"/>
      <c r="AX46" s="145"/>
      <c r="AY46" s="145"/>
      <c r="AZ46" s="145"/>
    </row>
    <row r="47" spans="1:52" ht="30" customHeight="1" x14ac:dyDescent="0.25">
      <c r="A47" s="270"/>
      <c r="B47" s="724" t="s">
        <v>189</v>
      </c>
      <c r="C47" s="711">
        <f t="shared" si="8"/>
        <v>0</v>
      </c>
      <c r="D47" s="273">
        <f t="shared" si="9"/>
        <v>0</v>
      </c>
      <c r="E47" s="272">
        <f t="shared" si="10"/>
        <v>0</v>
      </c>
      <c r="F47" s="271"/>
      <c r="G47" s="308">
        <v>200</v>
      </c>
      <c r="H47" s="274">
        <f t="shared" si="11"/>
        <v>0</v>
      </c>
      <c r="I47" s="272">
        <f t="shared" si="12"/>
        <v>0</v>
      </c>
      <c r="J47" s="275">
        <f t="shared" si="13"/>
        <v>0</v>
      </c>
      <c r="K47" s="162"/>
      <c r="L47" s="151"/>
      <c r="M47" s="151"/>
      <c r="N47" s="464" t="s">
        <v>172</v>
      </c>
      <c r="O47" s="481" t="s">
        <v>96</v>
      </c>
      <c r="P47" s="481" t="s">
        <v>87</v>
      </c>
      <c r="Q47" s="481" t="s">
        <v>93</v>
      </c>
      <c r="R47" s="481" t="s">
        <v>92</v>
      </c>
      <c r="S47" s="481" t="s">
        <v>211</v>
      </c>
      <c r="T47" s="502">
        <v>43228</v>
      </c>
      <c r="U47" s="481">
        <v>2</v>
      </c>
      <c r="V47" s="481">
        <v>0.04</v>
      </c>
      <c r="W47" s="481">
        <v>0.04</v>
      </c>
      <c r="X47" s="487">
        <v>7950</v>
      </c>
      <c r="Y47" s="481">
        <v>140</v>
      </c>
      <c r="Z47" s="488">
        <f t="shared" si="14"/>
        <v>0.88977157529109774</v>
      </c>
      <c r="AA47" s="503" t="s">
        <v>137</v>
      </c>
      <c r="AB47" s="881"/>
      <c r="AR47" s="145"/>
      <c r="AS47" s="145"/>
      <c r="AT47" s="145"/>
      <c r="AU47" s="145"/>
      <c r="AV47" s="145"/>
      <c r="AW47" s="145"/>
      <c r="AX47" s="145"/>
      <c r="AY47" s="145"/>
      <c r="AZ47" s="145"/>
    </row>
    <row r="48" spans="1:52" ht="30" customHeight="1" x14ac:dyDescent="0.25">
      <c r="A48" s="270"/>
      <c r="B48" s="723" t="s">
        <v>190</v>
      </c>
      <c r="C48" s="711">
        <f t="shared" si="8"/>
        <v>0</v>
      </c>
      <c r="D48" s="273">
        <f t="shared" si="9"/>
        <v>0</v>
      </c>
      <c r="E48" s="272">
        <f t="shared" si="10"/>
        <v>0</v>
      </c>
      <c r="F48" s="271"/>
      <c r="G48" s="308">
        <v>500</v>
      </c>
      <c r="H48" s="274">
        <f t="shared" si="11"/>
        <v>0</v>
      </c>
      <c r="I48" s="272">
        <f t="shared" si="12"/>
        <v>0</v>
      </c>
      <c r="J48" s="275">
        <f t="shared" si="13"/>
        <v>0</v>
      </c>
      <c r="K48" s="162"/>
      <c r="L48" s="151"/>
      <c r="M48" s="151"/>
      <c r="N48" s="464" t="s">
        <v>173</v>
      </c>
      <c r="O48" s="481" t="s">
        <v>96</v>
      </c>
      <c r="P48" s="481" t="s">
        <v>87</v>
      </c>
      <c r="Q48" s="481" t="s">
        <v>93</v>
      </c>
      <c r="R48" s="481" t="s">
        <v>94</v>
      </c>
      <c r="S48" s="481" t="s">
        <v>211</v>
      </c>
      <c r="T48" s="502">
        <v>43228</v>
      </c>
      <c r="U48" s="481">
        <v>2</v>
      </c>
      <c r="V48" s="481">
        <v>0.05</v>
      </c>
      <c r="W48" s="481">
        <v>0.04</v>
      </c>
      <c r="X48" s="487">
        <v>7950</v>
      </c>
      <c r="Y48" s="481">
        <v>140</v>
      </c>
      <c r="Z48" s="488">
        <f t="shared" si="14"/>
        <v>0.88977157529109774</v>
      </c>
      <c r="AA48" s="503" t="s">
        <v>137</v>
      </c>
      <c r="AB48" s="881"/>
      <c r="AR48" s="145"/>
      <c r="AS48" s="145"/>
      <c r="AT48" s="145"/>
      <c r="AU48" s="145"/>
      <c r="AV48" s="145"/>
      <c r="AW48" s="145"/>
      <c r="AX48" s="145"/>
      <c r="AY48" s="145"/>
      <c r="AZ48" s="145"/>
    </row>
    <row r="49" spans="1:52" ht="30" customHeight="1" x14ac:dyDescent="0.25">
      <c r="A49" s="270"/>
      <c r="B49" s="725" t="s">
        <v>138</v>
      </c>
      <c r="C49" s="711">
        <f t="shared" si="8"/>
        <v>0</v>
      </c>
      <c r="D49" s="273">
        <f t="shared" si="9"/>
        <v>0</v>
      </c>
      <c r="E49" s="272">
        <f t="shared" si="10"/>
        <v>0</v>
      </c>
      <c r="F49" s="271"/>
      <c r="G49" s="309">
        <v>1000</v>
      </c>
      <c r="H49" s="274">
        <f t="shared" si="11"/>
        <v>0</v>
      </c>
      <c r="I49" s="272">
        <f t="shared" si="12"/>
        <v>0</v>
      </c>
      <c r="J49" s="275">
        <f t="shared" si="13"/>
        <v>0</v>
      </c>
      <c r="K49" s="162"/>
      <c r="L49" s="151"/>
      <c r="M49" s="151"/>
      <c r="N49" s="464" t="s">
        <v>153</v>
      </c>
      <c r="O49" s="481" t="s">
        <v>96</v>
      </c>
      <c r="P49" s="481" t="s">
        <v>87</v>
      </c>
      <c r="Q49" s="481" t="s">
        <v>93</v>
      </c>
      <c r="R49" s="481" t="s">
        <v>92</v>
      </c>
      <c r="S49" s="481" t="s">
        <v>211</v>
      </c>
      <c r="T49" s="502">
        <v>43228</v>
      </c>
      <c r="U49" s="481">
        <v>5</v>
      </c>
      <c r="V49" s="481">
        <v>7.0000000000000007E-2</v>
      </c>
      <c r="W49" s="490">
        <v>0.05</v>
      </c>
      <c r="X49" s="487">
        <v>7840</v>
      </c>
      <c r="Y49" s="481">
        <v>140</v>
      </c>
      <c r="Z49" s="488">
        <f t="shared" si="14"/>
        <v>0.88977157529109774</v>
      </c>
      <c r="AA49" s="503" t="s">
        <v>137</v>
      </c>
      <c r="AB49" s="881"/>
      <c r="AR49" s="145"/>
      <c r="AS49" s="145"/>
      <c r="AT49" s="145"/>
      <c r="AU49" s="145"/>
      <c r="AV49" s="145"/>
      <c r="AW49" s="145"/>
      <c r="AX49" s="145"/>
      <c r="AY49" s="145"/>
      <c r="AZ49" s="145"/>
    </row>
    <row r="50" spans="1:52" ht="30" customHeight="1" x14ac:dyDescent="0.25">
      <c r="A50" s="270"/>
      <c r="B50" s="726" t="s">
        <v>139</v>
      </c>
      <c r="C50" s="711">
        <f t="shared" si="8"/>
        <v>0</v>
      </c>
      <c r="D50" s="273">
        <f t="shared" si="9"/>
        <v>0</v>
      </c>
      <c r="E50" s="272">
        <f t="shared" si="10"/>
        <v>0</v>
      </c>
      <c r="F50" s="271"/>
      <c r="G50" s="309">
        <v>2000</v>
      </c>
      <c r="H50" s="274">
        <f t="shared" si="11"/>
        <v>0</v>
      </c>
      <c r="I50" s="272">
        <f t="shared" si="12"/>
        <v>0</v>
      </c>
      <c r="J50" s="275">
        <f t="shared" si="13"/>
        <v>0</v>
      </c>
      <c r="K50" s="162"/>
      <c r="L50" s="151"/>
      <c r="M50" s="151"/>
      <c r="N50" s="464" t="s">
        <v>154</v>
      </c>
      <c r="O50" s="481" t="s">
        <v>96</v>
      </c>
      <c r="P50" s="481" t="s">
        <v>87</v>
      </c>
      <c r="Q50" s="481" t="s">
        <v>93</v>
      </c>
      <c r="R50" s="481" t="s">
        <v>92</v>
      </c>
      <c r="S50" s="481" t="s">
        <v>211</v>
      </c>
      <c r="T50" s="502">
        <v>43228</v>
      </c>
      <c r="U50" s="481">
        <v>10</v>
      </c>
      <c r="V50" s="481">
        <v>0.09</v>
      </c>
      <c r="W50" s="481">
        <v>0.06</v>
      </c>
      <c r="X50" s="487">
        <v>7840</v>
      </c>
      <c r="Y50" s="481">
        <v>140</v>
      </c>
      <c r="Z50" s="488">
        <f t="shared" si="14"/>
        <v>0.88977157529109774</v>
      </c>
      <c r="AA50" s="503" t="s">
        <v>137</v>
      </c>
      <c r="AB50" s="881"/>
      <c r="AR50" s="145"/>
      <c r="AS50" s="145"/>
      <c r="AT50" s="145"/>
      <c r="AU50" s="145"/>
      <c r="AV50" s="145"/>
      <c r="AW50" s="145"/>
      <c r="AX50" s="145"/>
      <c r="AY50" s="145"/>
      <c r="AZ50" s="145"/>
    </row>
    <row r="51" spans="1:52" ht="30" customHeight="1" x14ac:dyDescent="0.25">
      <c r="A51" s="270"/>
      <c r="B51" s="727" t="s">
        <v>191</v>
      </c>
      <c r="C51" s="711">
        <f t="shared" si="8"/>
        <v>0</v>
      </c>
      <c r="D51" s="273">
        <f t="shared" si="9"/>
        <v>0</v>
      </c>
      <c r="E51" s="272">
        <f t="shared" si="10"/>
        <v>0</v>
      </c>
      <c r="F51" s="271"/>
      <c r="G51" s="309">
        <v>2000</v>
      </c>
      <c r="H51" s="274">
        <f t="shared" si="11"/>
        <v>0</v>
      </c>
      <c r="I51" s="272">
        <f t="shared" si="12"/>
        <v>0</v>
      </c>
      <c r="J51" s="275">
        <f t="shared" si="13"/>
        <v>0</v>
      </c>
      <c r="K51" s="162"/>
      <c r="L51" s="151"/>
      <c r="M51" s="151"/>
      <c r="N51" s="464" t="s">
        <v>155</v>
      </c>
      <c r="O51" s="481" t="s">
        <v>96</v>
      </c>
      <c r="P51" s="481" t="s">
        <v>87</v>
      </c>
      <c r="Q51" s="481" t="s">
        <v>93</v>
      </c>
      <c r="R51" s="481" t="s">
        <v>92</v>
      </c>
      <c r="S51" s="481" t="s">
        <v>211</v>
      </c>
      <c r="T51" s="502">
        <v>43228</v>
      </c>
      <c r="U51" s="481">
        <v>20</v>
      </c>
      <c r="V51" s="481">
        <v>0.11</v>
      </c>
      <c r="W51" s="481">
        <v>0.08</v>
      </c>
      <c r="X51" s="487">
        <v>7840</v>
      </c>
      <c r="Y51" s="481">
        <v>140</v>
      </c>
      <c r="Z51" s="488">
        <f t="shared" si="14"/>
        <v>0.88977157529109774</v>
      </c>
      <c r="AA51" s="503" t="s">
        <v>137</v>
      </c>
      <c r="AB51" s="881"/>
      <c r="AR51" s="145"/>
      <c r="AS51" s="145"/>
      <c r="AT51" s="145"/>
      <c r="AU51" s="145"/>
      <c r="AV51" s="145"/>
      <c r="AW51" s="145"/>
      <c r="AX51" s="145"/>
      <c r="AY51" s="145"/>
      <c r="AZ51" s="145"/>
    </row>
    <row r="52" spans="1:52" ht="30" customHeight="1" x14ac:dyDescent="0.25">
      <c r="A52" s="270"/>
      <c r="B52" s="728" t="s">
        <v>140</v>
      </c>
      <c r="C52" s="711">
        <f t="shared" si="8"/>
        <v>0</v>
      </c>
      <c r="D52" s="273">
        <f t="shared" si="9"/>
        <v>0</v>
      </c>
      <c r="E52" s="272">
        <f t="shared" si="10"/>
        <v>0</v>
      </c>
      <c r="F52" s="271"/>
      <c r="G52" s="309">
        <v>5000</v>
      </c>
      <c r="H52" s="274">
        <f t="shared" si="11"/>
        <v>0</v>
      </c>
      <c r="I52" s="272">
        <f t="shared" si="12"/>
        <v>0</v>
      </c>
      <c r="J52" s="275">
        <f t="shared" si="13"/>
        <v>0</v>
      </c>
      <c r="K52" s="162"/>
      <c r="L52" s="151"/>
      <c r="M52" s="151"/>
      <c r="N52" s="464" t="s">
        <v>156</v>
      </c>
      <c r="O52" s="481" t="s">
        <v>96</v>
      </c>
      <c r="P52" s="481" t="s">
        <v>87</v>
      </c>
      <c r="Q52" s="481" t="s">
        <v>93</v>
      </c>
      <c r="R52" s="481" t="s">
        <v>94</v>
      </c>
      <c r="S52" s="481" t="s">
        <v>211</v>
      </c>
      <c r="T52" s="502">
        <v>43228</v>
      </c>
      <c r="U52" s="481">
        <v>20</v>
      </c>
      <c r="V52" s="490">
        <v>0.1</v>
      </c>
      <c r="W52" s="481">
        <v>0.08</v>
      </c>
      <c r="X52" s="487">
        <v>7840</v>
      </c>
      <c r="Y52" s="481">
        <v>140</v>
      </c>
      <c r="Z52" s="488">
        <f t="shared" si="14"/>
        <v>0.88977157529109774</v>
      </c>
      <c r="AA52" s="503" t="s">
        <v>137</v>
      </c>
      <c r="AB52" s="881"/>
      <c r="AR52" s="145"/>
      <c r="AS52" s="145"/>
      <c r="AT52" s="145"/>
      <c r="AU52" s="145"/>
      <c r="AV52" s="145"/>
      <c r="AW52" s="145"/>
      <c r="AX52" s="145"/>
      <c r="AY52" s="145"/>
      <c r="AZ52" s="145"/>
    </row>
    <row r="53" spans="1:52" ht="30" customHeight="1" x14ac:dyDescent="0.25">
      <c r="A53" s="270"/>
      <c r="B53" s="729" t="s">
        <v>141</v>
      </c>
      <c r="C53" s="711">
        <f t="shared" si="8"/>
        <v>0</v>
      </c>
      <c r="D53" s="273">
        <f t="shared" si="9"/>
        <v>0</v>
      </c>
      <c r="E53" s="272">
        <f t="shared" si="10"/>
        <v>0</v>
      </c>
      <c r="F53" s="271"/>
      <c r="G53" s="309">
        <v>10000</v>
      </c>
      <c r="H53" s="274">
        <f t="shared" si="11"/>
        <v>0</v>
      </c>
      <c r="I53" s="272">
        <f t="shared" si="12"/>
        <v>0</v>
      </c>
      <c r="J53" s="275">
        <f t="shared" si="13"/>
        <v>0</v>
      </c>
      <c r="K53" s="162"/>
      <c r="L53" s="151"/>
      <c r="M53" s="151"/>
      <c r="N53" s="464" t="s">
        <v>157</v>
      </c>
      <c r="O53" s="481" t="s">
        <v>96</v>
      </c>
      <c r="P53" s="481" t="s">
        <v>87</v>
      </c>
      <c r="Q53" s="481" t="s">
        <v>93</v>
      </c>
      <c r="R53" s="481" t="s">
        <v>92</v>
      </c>
      <c r="S53" s="481" t="s">
        <v>211</v>
      </c>
      <c r="T53" s="502">
        <v>43228</v>
      </c>
      <c r="U53" s="481">
        <v>50</v>
      </c>
      <c r="V53" s="490">
        <v>0.1</v>
      </c>
      <c r="W53" s="490">
        <v>0.1</v>
      </c>
      <c r="X53" s="487">
        <v>7840</v>
      </c>
      <c r="Y53" s="481">
        <v>140</v>
      </c>
      <c r="Z53" s="488">
        <f t="shared" si="14"/>
        <v>0.88977157529109774</v>
      </c>
      <c r="AA53" s="503" t="s">
        <v>137</v>
      </c>
      <c r="AB53" s="881"/>
      <c r="AR53" s="145"/>
      <c r="AS53" s="145"/>
      <c r="AT53" s="145"/>
      <c r="AU53" s="145"/>
      <c r="AV53" s="145"/>
      <c r="AW53" s="145"/>
      <c r="AX53" s="145"/>
      <c r="AY53" s="145"/>
      <c r="AZ53" s="145"/>
    </row>
    <row r="54" spans="1:52" ht="30" customHeight="1" x14ac:dyDescent="0.25">
      <c r="A54" s="270"/>
      <c r="B54" s="734" t="s">
        <v>423</v>
      </c>
      <c r="C54" s="712">
        <f t="shared" si="8"/>
        <v>0</v>
      </c>
      <c r="D54" s="273">
        <f t="shared" si="9"/>
        <v>0</v>
      </c>
      <c r="E54" s="272">
        <f t="shared" si="10"/>
        <v>0</v>
      </c>
      <c r="F54" s="271"/>
      <c r="G54" s="309">
        <v>20000</v>
      </c>
      <c r="H54" s="713">
        <f t="shared" si="11"/>
        <v>0</v>
      </c>
      <c r="I54" s="272">
        <f t="shared" si="12"/>
        <v>0</v>
      </c>
      <c r="J54" s="275">
        <f t="shared" si="13"/>
        <v>0</v>
      </c>
      <c r="K54" s="162"/>
      <c r="L54" s="151"/>
      <c r="M54" s="151"/>
      <c r="N54" s="464" t="s">
        <v>158</v>
      </c>
      <c r="O54" s="481" t="s">
        <v>96</v>
      </c>
      <c r="P54" s="481" t="s">
        <v>87</v>
      </c>
      <c r="Q54" s="481" t="s">
        <v>93</v>
      </c>
      <c r="R54" s="481" t="s">
        <v>92</v>
      </c>
      <c r="S54" s="481" t="s">
        <v>211</v>
      </c>
      <c r="T54" s="502">
        <v>43228</v>
      </c>
      <c r="U54" s="481">
        <v>100</v>
      </c>
      <c r="V54" s="481">
        <v>0.12</v>
      </c>
      <c r="W54" s="481">
        <v>0.16</v>
      </c>
      <c r="X54" s="487">
        <v>7840</v>
      </c>
      <c r="Y54" s="481">
        <v>140</v>
      </c>
      <c r="Z54" s="488">
        <f t="shared" si="14"/>
        <v>0.88977157529109774</v>
      </c>
      <c r="AA54" s="503" t="s">
        <v>137</v>
      </c>
      <c r="AB54" s="881"/>
      <c r="AR54" s="145"/>
      <c r="AS54" s="145"/>
      <c r="AT54" s="145"/>
      <c r="AU54" s="145"/>
      <c r="AV54" s="145"/>
      <c r="AW54" s="145"/>
      <c r="AX54" s="145"/>
      <c r="AY54" s="145"/>
      <c r="AZ54" s="145"/>
    </row>
    <row r="55" spans="1:52" ht="30" customHeight="1" x14ac:dyDescent="0.25">
      <c r="A55" s="270"/>
      <c r="B55" s="730"/>
      <c r="C55" s="712"/>
      <c r="D55" s="273"/>
      <c r="E55" s="272"/>
      <c r="F55" s="700"/>
      <c r="G55" s="309"/>
      <c r="H55" s="713"/>
      <c r="I55" s="272"/>
      <c r="J55" s="275"/>
      <c r="K55" s="162"/>
      <c r="L55" s="151"/>
      <c r="M55" s="151"/>
      <c r="N55" s="464" t="s">
        <v>159</v>
      </c>
      <c r="O55" s="481" t="s">
        <v>96</v>
      </c>
      <c r="P55" s="481" t="s">
        <v>87</v>
      </c>
      <c r="Q55" s="481" t="s">
        <v>93</v>
      </c>
      <c r="R55" s="481" t="s">
        <v>92</v>
      </c>
      <c r="S55" s="481" t="s">
        <v>211</v>
      </c>
      <c r="T55" s="502">
        <v>43228</v>
      </c>
      <c r="U55" s="481">
        <v>200</v>
      </c>
      <c r="V55" s="481">
        <v>0.3</v>
      </c>
      <c r="W55" s="481">
        <v>0.3</v>
      </c>
      <c r="X55" s="487">
        <v>7840</v>
      </c>
      <c r="Y55" s="481">
        <v>140</v>
      </c>
      <c r="Z55" s="488">
        <f t="shared" si="14"/>
        <v>0.88977157529109774</v>
      </c>
      <c r="AA55" s="503" t="s">
        <v>137</v>
      </c>
      <c r="AB55" s="881"/>
      <c r="AR55" s="145"/>
      <c r="AS55" s="145"/>
      <c r="AT55" s="145"/>
      <c r="AU55" s="145"/>
      <c r="AV55" s="145"/>
      <c r="AW55" s="145"/>
      <c r="AX55" s="145"/>
      <c r="AY55" s="145"/>
      <c r="AZ55" s="145"/>
    </row>
    <row r="56" spans="1:52" ht="30" customHeight="1" thickBot="1" x14ac:dyDescent="0.3">
      <c r="A56" s="270"/>
      <c r="B56" s="731"/>
      <c r="C56" s="732"/>
      <c r="D56" s="166"/>
      <c r="E56" s="167"/>
      <c r="F56" s="733"/>
      <c r="G56" s="701"/>
      <c r="H56" s="702"/>
      <c r="I56" s="167"/>
      <c r="J56" s="276"/>
      <c r="K56" s="164"/>
      <c r="L56" s="151"/>
      <c r="M56" s="151"/>
      <c r="N56" s="464" t="s">
        <v>160</v>
      </c>
      <c r="O56" s="481" t="s">
        <v>96</v>
      </c>
      <c r="P56" s="481" t="s">
        <v>87</v>
      </c>
      <c r="Q56" s="481" t="s">
        <v>93</v>
      </c>
      <c r="R56" s="481" t="s">
        <v>94</v>
      </c>
      <c r="S56" s="481" t="s">
        <v>211</v>
      </c>
      <c r="T56" s="502">
        <v>43228</v>
      </c>
      <c r="U56" s="481">
        <v>200</v>
      </c>
      <c r="V56" s="481">
        <v>0.4</v>
      </c>
      <c r="W56" s="481">
        <v>0.3</v>
      </c>
      <c r="X56" s="487">
        <v>7840</v>
      </c>
      <c r="Y56" s="481">
        <v>140</v>
      </c>
      <c r="Z56" s="488">
        <f t="shared" si="14"/>
        <v>0.88977157529109774</v>
      </c>
      <c r="AA56" s="503" t="s">
        <v>137</v>
      </c>
      <c r="AB56" s="881"/>
      <c r="AR56" s="145"/>
      <c r="AS56" s="145"/>
      <c r="AT56" s="145"/>
      <c r="AU56" s="145"/>
      <c r="AV56" s="145"/>
      <c r="AW56" s="145"/>
      <c r="AX56" s="145"/>
      <c r="AY56" s="145"/>
      <c r="AZ56" s="145"/>
    </row>
    <row r="57" spans="1:52" ht="45.6" customHeight="1" thickBot="1" x14ac:dyDescent="0.3">
      <c r="A57" s="151"/>
      <c r="B57" s="399" t="s">
        <v>328</v>
      </c>
      <c r="C57" s="398">
        <f>COUNTA(F37:F56)</f>
        <v>0</v>
      </c>
      <c r="D57" s="165"/>
      <c r="E57" s="165"/>
      <c r="F57" s="165"/>
      <c r="G57" s="165"/>
      <c r="H57" s="165"/>
      <c r="I57" s="165"/>
      <c r="J57" s="165"/>
      <c r="K57" s="165"/>
      <c r="L57" s="151"/>
      <c r="M57" s="151"/>
      <c r="N57" s="464" t="s">
        <v>161</v>
      </c>
      <c r="O57" s="481" t="s">
        <v>96</v>
      </c>
      <c r="P57" s="481" t="s">
        <v>87</v>
      </c>
      <c r="Q57" s="481" t="s">
        <v>93</v>
      </c>
      <c r="R57" s="481" t="s">
        <v>92</v>
      </c>
      <c r="S57" s="481" t="s">
        <v>211</v>
      </c>
      <c r="T57" s="502">
        <v>43228</v>
      </c>
      <c r="U57" s="481">
        <v>500</v>
      </c>
      <c r="V57" s="481">
        <v>0.9</v>
      </c>
      <c r="W57" s="481">
        <v>0.8</v>
      </c>
      <c r="X57" s="487">
        <v>7840</v>
      </c>
      <c r="Y57" s="481">
        <v>140</v>
      </c>
      <c r="Z57" s="488">
        <f t="shared" si="14"/>
        <v>0.88977157529109774</v>
      </c>
      <c r="AA57" s="503" t="s">
        <v>137</v>
      </c>
      <c r="AB57" s="881"/>
      <c r="AR57" s="145"/>
      <c r="AS57" s="145"/>
      <c r="AT57" s="145"/>
      <c r="AU57" s="145"/>
      <c r="AV57" s="145"/>
      <c r="AW57" s="145"/>
      <c r="AX57" s="145"/>
      <c r="AY57" s="145"/>
      <c r="AZ57" s="145"/>
    </row>
    <row r="58" spans="1:52" ht="30" customHeight="1" x14ac:dyDescent="0.25">
      <c r="A58" s="15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51"/>
      <c r="M58" s="151"/>
      <c r="N58" s="464" t="s">
        <v>162</v>
      </c>
      <c r="O58" s="481" t="s">
        <v>96</v>
      </c>
      <c r="P58" s="481" t="s">
        <v>87</v>
      </c>
      <c r="Q58" s="481" t="s">
        <v>93</v>
      </c>
      <c r="R58" s="481" t="s">
        <v>92</v>
      </c>
      <c r="S58" s="481" t="s">
        <v>211</v>
      </c>
      <c r="T58" s="502">
        <v>43228</v>
      </c>
      <c r="U58" s="491">
        <v>1000</v>
      </c>
      <c r="V58" s="492">
        <v>-0.5</v>
      </c>
      <c r="W58" s="481">
        <v>1.6</v>
      </c>
      <c r="X58" s="487">
        <v>7840</v>
      </c>
      <c r="Y58" s="481">
        <v>140</v>
      </c>
      <c r="Z58" s="488">
        <f t="shared" si="14"/>
        <v>0.88977157529109774</v>
      </c>
      <c r="AA58" s="503" t="s">
        <v>137</v>
      </c>
      <c r="AB58" s="881"/>
      <c r="AR58" s="145"/>
      <c r="AS58" s="145"/>
      <c r="AT58" s="145"/>
      <c r="AU58" s="145"/>
      <c r="AV58" s="145"/>
      <c r="AW58" s="145"/>
      <c r="AX58" s="145"/>
      <c r="AY58" s="145"/>
      <c r="AZ58" s="145"/>
    </row>
    <row r="59" spans="1:52" ht="33.6" customHeight="1" x14ac:dyDescent="0.25">
      <c r="A59" s="151"/>
      <c r="D59" s="151"/>
      <c r="E59" s="151"/>
      <c r="F59" s="151"/>
      <c r="G59" s="151"/>
      <c r="H59" s="151"/>
      <c r="I59" s="151"/>
      <c r="J59" s="151"/>
      <c r="K59" s="151"/>
      <c r="L59" s="151"/>
      <c r="N59" s="464" t="s">
        <v>163</v>
      </c>
      <c r="O59" s="481" t="s">
        <v>96</v>
      </c>
      <c r="P59" s="481" t="s">
        <v>87</v>
      </c>
      <c r="Q59" s="481" t="s">
        <v>93</v>
      </c>
      <c r="R59" s="481" t="s">
        <v>92</v>
      </c>
      <c r="S59" s="481" t="s">
        <v>211</v>
      </c>
      <c r="T59" s="502">
        <v>43228</v>
      </c>
      <c r="U59" s="491">
        <v>2000</v>
      </c>
      <c r="V59" s="492">
        <v>3.1</v>
      </c>
      <c r="W59" s="492">
        <v>3</v>
      </c>
      <c r="X59" s="487">
        <v>7840</v>
      </c>
      <c r="Y59" s="481">
        <v>140</v>
      </c>
      <c r="Z59" s="488">
        <f t="shared" si="14"/>
        <v>0.88977157529109774</v>
      </c>
      <c r="AA59" s="503" t="s">
        <v>137</v>
      </c>
      <c r="AB59" s="881"/>
      <c r="AR59" s="145"/>
      <c r="AS59" s="145"/>
      <c r="AT59" s="145"/>
      <c r="AU59" s="145"/>
      <c r="AV59" s="145"/>
      <c r="AW59" s="145"/>
      <c r="AX59" s="145"/>
      <c r="AY59" s="145"/>
      <c r="AZ59" s="145"/>
    </row>
    <row r="60" spans="1:52" ht="30" customHeight="1" x14ac:dyDescent="0.2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N60" s="520" t="s">
        <v>164</v>
      </c>
      <c r="O60" s="481" t="s">
        <v>96</v>
      </c>
      <c r="P60" s="481" t="s">
        <v>87</v>
      </c>
      <c r="Q60" s="481" t="s">
        <v>93</v>
      </c>
      <c r="R60" s="481" t="s">
        <v>94</v>
      </c>
      <c r="S60" s="481" t="s">
        <v>211</v>
      </c>
      <c r="T60" s="504">
        <v>43228</v>
      </c>
      <c r="U60" s="491">
        <v>2000</v>
      </c>
      <c r="V60" s="481">
        <v>3.2</v>
      </c>
      <c r="W60" s="492">
        <v>3</v>
      </c>
      <c r="X60" s="487">
        <v>7840</v>
      </c>
      <c r="Y60" s="481">
        <v>140</v>
      </c>
      <c r="Z60" s="488">
        <f t="shared" si="14"/>
        <v>0.88977157529109774</v>
      </c>
      <c r="AA60" s="505" t="s">
        <v>137</v>
      </c>
      <c r="AB60" s="881"/>
      <c r="AP60" s="145"/>
      <c r="AQ60" s="147"/>
      <c r="AR60" s="145"/>
      <c r="AS60" s="145"/>
      <c r="AT60" s="145"/>
      <c r="AU60" s="145"/>
      <c r="AV60" s="145"/>
      <c r="AW60" s="145"/>
      <c r="AX60" s="145"/>
      <c r="AY60" s="145"/>
      <c r="AZ60" s="145"/>
    </row>
    <row r="61" spans="1:52" ht="30" customHeight="1" thickBot="1" x14ac:dyDescent="0.3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N61" s="512" t="s">
        <v>165</v>
      </c>
      <c r="O61" s="513" t="s">
        <v>96</v>
      </c>
      <c r="P61" s="513" t="s">
        <v>87</v>
      </c>
      <c r="Q61" s="513" t="s">
        <v>93</v>
      </c>
      <c r="R61" s="513" t="s">
        <v>92</v>
      </c>
      <c r="S61" s="514" t="s">
        <v>211</v>
      </c>
      <c r="T61" s="515">
        <v>43228</v>
      </c>
      <c r="U61" s="516">
        <v>5000</v>
      </c>
      <c r="V61" s="513">
        <v>7.9</v>
      </c>
      <c r="W61" s="517">
        <v>8</v>
      </c>
      <c r="X61" s="518">
        <v>7840</v>
      </c>
      <c r="Y61" s="513">
        <v>140</v>
      </c>
      <c r="Z61" s="498">
        <f t="shared" si="14"/>
        <v>0.88977157529109774</v>
      </c>
      <c r="AA61" s="519" t="s">
        <v>137</v>
      </c>
      <c r="AB61" s="882"/>
      <c r="AP61" s="145"/>
      <c r="AQ61" s="147"/>
      <c r="AR61" s="145"/>
      <c r="AS61" s="145"/>
      <c r="AT61" s="145"/>
      <c r="AU61" s="145"/>
      <c r="AV61" s="145"/>
      <c r="AW61" s="145"/>
      <c r="AX61" s="145"/>
      <c r="AY61" s="145"/>
      <c r="AZ61" s="145"/>
    </row>
    <row r="62" spans="1:52" ht="30" customHeight="1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N62" s="457" t="s">
        <v>379</v>
      </c>
      <c r="O62" s="480" t="s">
        <v>327</v>
      </c>
      <c r="P62" s="480" t="s">
        <v>350</v>
      </c>
      <c r="Q62" s="480">
        <v>1913613</v>
      </c>
      <c r="R62" s="480">
        <v>1</v>
      </c>
      <c r="S62" s="480" t="s">
        <v>380</v>
      </c>
      <c r="T62" s="500">
        <v>43806</v>
      </c>
      <c r="U62" s="509">
        <v>1</v>
      </c>
      <c r="V62" s="508">
        <v>3.3000000000000002E-2</v>
      </c>
      <c r="W62" s="483">
        <v>3.3000000000000002E-2</v>
      </c>
      <c r="X62" s="509">
        <v>7950</v>
      </c>
      <c r="Y62" s="480">
        <v>140</v>
      </c>
      <c r="Z62" s="484">
        <v>0.89216172299489449</v>
      </c>
      <c r="AA62" s="485" t="s">
        <v>381</v>
      </c>
      <c r="AB62" s="880">
        <v>2</v>
      </c>
      <c r="AP62" s="145"/>
      <c r="AQ62" s="147"/>
      <c r="AR62" s="145"/>
      <c r="AS62" s="145"/>
      <c r="AT62" s="145"/>
      <c r="AU62" s="145"/>
      <c r="AV62" s="145"/>
      <c r="AW62" s="145"/>
      <c r="AX62" s="145"/>
      <c r="AY62" s="145"/>
      <c r="AZ62" s="145"/>
    </row>
    <row r="63" spans="1:52" ht="30" customHeight="1" x14ac:dyDescent="0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N63" s="464" t="s">
        <v>382</v>
      </c>
      <c r="O63" s="481" t="s">
        <v>327</v>
      </c>
      <c r="P63" s="481" t="s">
        <v>350</v>
      </c>
      <c r="Q63" s="481">
        <v>1913613</v>
      </c>
      <c r="R63" s="481">
        <v>2</v>
      </c>
      <c r="S63" s="481" t="s">
        <v>380</v>
      </c>
      <c r="T63" s="486">
        <v>43806</v>
      </c>
      <c r="U63" s="491">
        <v>2</v>
      </c>
      <c r="V63" s="481">
        <v>2.1000000000000001E-2</v>
      </c>
      <c r="W63" s="487">
        <v>0.04</v>
      </c>
      <c r="X63" s="491">
        <v>7950</v>
      </c>
      <c r="Y63" s="481">
        <v>140</v>
      </c>
      <c r="Z63" s="488">
        <v>0.89216172299489449</v>
      </c>
      <c r="AA63" s="489" t="s">
        <v>381</v>
      </c>
      <c r="AB63" s="881"/>
      <c r="AP63" s="145"/>
      <c r="AQ63" s="147"/>
      <c r="AR63" s="145"/>
      <c r="AS63" s="145"/>
      <c r="AT63" s="145"/>
      <c r="AU63" s="145"/>
      <c r="AV63" s="145"/>
      <c r="AW63" s="145"/>
      <c r="AX63" s="145"/>
      <c r="AY63" s="145"/>
      <c r="AZ63" s="145"/>
    </row>
    <row r="64" spans="1:52" ht="30" customHeight="1" x14ac:dyDescent="0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N64" s="520" t="s">
        <v>383</v>
      </c>
      <c r="O64" s="481" t="s">
        <v>327</v>
      </c>
      <c r="P64" s="481" t="s">
        <v>350</v>
      </c>
      <c r="Q64" s="481">
        <v>1913613</v>
      </c>
      <c r="R64" s="481" t="s">
        <v>384</v>
      </c>
      <c r="S64" s="481" t="s">
        <v>380</v>
      </c>
      <c r="T64" s="486">
        <v>43806</v>
      </c>
      <c r="U64" s="491">
        <v>2</v>
      </c>
      <c r="V64" s="481">
        <v>5.7000000000000002E-2</v>
      </c>
      <c r="W64" s="487">
        <v>0.04</v>
      </c>
      <c r="X64" s="491">
        <v>7950</v>
      </c>
      <c r="Y64" s="481">
        <v>140</v>
      </c>
      <c r="Z64" s="488">
        <v>0.89216172299489449</v>
      </c>
      <c r="AA64" s="489" t="s">
        <v>381</v>
      </c>
      <c r="AB64" s="881"/>
      <c r="AP64" s="145"/>
      <c r="AQ64" s="147"/>
      <c r="AR64" s="145"/>
      <c r="AS64" s="145"/>
      <c r="AT64" s="145"/>
      <c r="AU64" s="145"/>
      <c r="AV64" s="145"/>
      <c r="AW64" s="145"/>
      <c r="AX64" s="145"/>
      <c r="AY64" s="145"/>
      <c r="AZ64" s="145"/>
    </row>
    <row r="65" spans="1:52" ht="30" customHeight="1" x14ac:dyDescent="0.2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N65" s="464" t="s">
        <v>385</v>
      </c>
      <c r="O65" s="481" t="s">
        <v>327</v>
      </c>
      <c r="P65" s="481" t="s">
        <v>350</v>
      </c>
      <c r="Q65" s="481">
        <v>1913613</v>
      </c>
      <c r="R65" s="481">
        <v>5</v>
      </c>
      <c r="S65" s="481" t="s">
        <v>380</v>
      </c>
      <c r="T65" s="486">
        <v>43806</v>
      </c>
      <c r="U65" s="491">
        <v>5</v>
      </c>
      <c r="V65" s="481">
        <v>1.2E-2</v>
      </c>
      <c r="W65" s="487">
        <v>5.2999999999999999E-2</v>
      </c>
      <c r="X65" s="491">
        <v>7950</v>
      </c>
      <c r="Y65" s="481">
        <v>140</v>
      </c>
      <c r="Z65" s="488">
        <v>0.89216172299489449</v>
      </c>
      <c r="AA65" s="489" t="s">
        <v>381</v>
      </c>
      <c r="AB65" s="881"/>
      <c r="AP65" s="145"/>
      <c r="AQ65" s="147"/>
      <c r="AR65" s="145"/>
      <c r="AS65" s="145"/>
      <c r="AT65" s="145"/>
      <c r="AU65" s="145"/>
      <c r="AV65" s="145"/>
      <c r="AW65" s="145"/>
      <c r="AX65" s="145"/>
      <c r="AY65" s="145"/>
      <c r="AZ65" s="145"/>
    </row>
    <row r="66" spans="1:52" ht="30" customHeight="1" x14ac:dyDescent="0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N66" s="464" t="s">
        <v>386</v>
      </c>
      <c r="O66" s="481" t="s">
        <v>327</v>
      </c>
      <c r="P66" s="481" t="s">
        <v>350</v>
      </c>
      <c r="Q66" s="481">
        <v>1913613</v>
      </c>
      <c r="R66" s="481">
        <v>10</v>
      </c>
      <c r="S66" s="481" t="s">
        <v>380</v>
      </c>
      <c r="T66" s="486">
        <v>43806</v>
      </c>
      <c r="U66" s="491">
        <v>10</v>
      </c>
      <c r="V66" s="481">
        <v>5.6000000000000001E-2</v>
      </c>
      <c r="W66" s="487">
        <v>6.7000000000000004E-2</v>
      </c>
      <c r="X66" s="491">
        <v>7950</v>
      </c>
      <c r="Y66" s="481">
        <v>140</v>
      </c>
      <c r="Z66" s="488">
        <v>0.89216172299489449</v>
      </c>
      <c r="AA66" s="489" t="s">
        <v>381</v>
      </c>
      <c r="AB66" s="881"/>
      <c r="AP66" s="145"/>
      <c r="AQ66" s="147"/>
      <c r="AR66" s="145"/>
      <c r="AS66" s="145"/>
      <c r="AT66" s="145"/>
      <c r="AU66" s="145"/>
      <c r="AV66" s="145"/>
      <c r="AW66" s="145"/>
      <c r="AX66" s="145"/>
      <c r="AY66" s="145"/>
      <c r="AZ66" s="145"/>
    </row>
    <row r="67" spans="1:52" ht="30" customHeight="1" x14ac:dyDescent="0.2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N67" s="464" t="s">
        <v>387</v>
      </c>
      <c r="O67" s="481" t="s">
        <v>327</v>
      </c>
      <c r="P67" s="481" t="s">
        <v>350</v>
      </c>
      <c r="Q67" s="481">
        <v>1913613</v>
      </c>
      <c r="R67" s="481">
        <v>20</v>
      </c>
      <c r="S67" s="481" t="s">
        <v>380</v>
      </c>
      <c r="T67" s="486">
        <v>43806</v>
      </c>
      <c r="U67" s="491">
        <v>20</v>
      </c>
      <c r="V67" s="481">
        <v>0</v>
      </c>
      <c r="W67" s="487">
        <v>8.3000000000000004E-2</v>
      </c>
      <c r="X67" s="491">
        <v>7950</v>
      </c>
      <c r="Y67" s="481">
        <v>140</v>
      </c>
      <c r="Z67" s="488">
        <v>0.89216172299489449</v>
      </c>
      <c r="AA67" s="489" t="s">
        <v>381</v>
      </c>
      <c r="AB67" s="881"/>
      <c r="AP67" s="145"/>
      <c r="AQ67" s="147"/>
      <c r="AR67" s="145"/>
      <c r="AS67" s="145"/>
      <c r="AT67" s="145"/>
      <c r="AU67" s="145"/>
      <c r="AV67" s="145"/>
      <c r="AW67" s="145"/>
      <c r="AX67" s="145"/>
      <c r="AY67" s="145"/>
      <c r="AZ67" s="145"/>
    </row>
    <row r="68" spans="1:52" ht="30" customHeight="1" x14ac:dyDescent="0.2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N68" s="520" t="s">
        <v>388</v>
      </c>
      <c r="O68" s="481" t="s">
        <v>327</v>
      </c>
      <c r="P68" s="481" t="s">
        <v>350</v>
      </c>
      <c r="Q68" s="481">
        <v>1913613</v>
      </c>
      <c r="R68" s="481" t="s">
        <v>389</v>
      </c>
      <c r="S68" s="481" t="s">
        <v>380</v>
      </c>
      <c r="T68" s="486">
        <v>43806</v>
      </c>
      <c r="U68" s="491">
        <v>20</v>
      </c>
      <c r="V68" s="481">
        <v>0.108</v>
      </c>
      <c r="W68" s="492">
        <v>8.3000000000000004E-2</v>
      </c>
      <c r="X68" s="491">
        <v>7950</v>
      </c>
      <c r="Y68" s="481">
        <v>140</v>
      </c>
      <c r="Z68" s="488">
        <v>0.89216172299489449</v>
      </c>
      <c r="AA68" s="489" t="s">
        <v>381</v>
      </c>
      <c r="AB68" s="881"/>
      <c r="AP68" s="145"/>
      <c r="AQ68" s="147"/>
      <c r="AR68" s="145"/>
      <c r="AS68" s="145"/>
      <c r="AT68" s="145"/>
      <c r="AU68" s="145"/>
      <c r="AV68" s="145"/>
      <c r="AW68" s="145"/>
      <c r="AX68" s="145"/>
      <c r="AY68" s="145"/>
      <c r="AZ68" s="145"/>
    </row>
    <row r="69" spans="1:52" ht="30" customHeight="1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N69" s="520" t="s">
        <v>390</v>
      </c>
      <c r="O69" s="481" t="s">
        <v>327</v>
      </c>
      <c r="P69" s="481" t="s">
        <v>350</v>
      </c>
      <c r="Q69" s="481">
        <v>1913613</v>
      </c>
      <c r="R69" s="481">
        <v>50</v>
      </c>
      <c r="S69" s="481" t="s">
        <v>380</v>
      </c>
      <c r="T69" s="486">
        <v>43806</v>
      </c>
      <c r="U69" s="481">
        <v>50</v>
      </c>
      <c r="V69" s="481">
        <v>0.14000000000000001</v>
      </c>
      <c r="W69" s="490">
        <v>0.1</v>
      </c>
      <c r="X69" s="491">
        <v>7950</v>
      </c>
      <c r="Y69" s="481">
        <v>140</v>
      </c>
      <c r="Z69" s="488">
        <v>0.89216172299489449</v>
      </c>
      <c r="AA69" s="489" t="s">
        <v>381</v>
      </c>
      <c r="AB69" s="881"/>
      <c r="AP69" s="145"/>
      <c r="AQ69" s="147"/>
      <c r="AR69" s="145"/>
      <c r="AS69" s="145"/>
      <c r="AT69" s="145"/>
      <c r="AU69" s="145"/>
      <c r="AV69" s="145"/>
      <c r="AW69" s="145"/>
      <c r="AX69" s="145"/>
      <c r="AY69" s="145"/>
      <c r="AZ69" s="145"/>
    </row>
    <row r="70" spans="1:52" ht="30" customHeight="1" x14ac:dyDescent="0.2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N70" s="520" t="s">
        <v>391</v>
      </c>
      <c r="O70" s="481" t="s">
        <v>327</v>
      </c>
      <c r="P70" s="481" t="s">
        <v>350</v>
      </c>
      <c r="Q70" s="481">
        <v>1913613</v>
      </c>
      <c r="R70" s="481">
        <v>100</v>
      </c>
      <c r="S70" s="481" t="s">
        <v>380</v>
      </c>
      <c r="T70" s="486">
        <v>43806</v>
      </c>
      <c r="U70" s="481">
        <v>100</v>
      </c>
      <c r="V70" s="481">
        <v>0.23</v>
      </c>
      <c r="W70" s="490">
        <v>0.17</v>
      </c>
      <c r="X70" s="491">
        <v>7950</v>
      </c>
      <c r="Y70" s="481">
        <v>140</v>
      </c>
      <c r="Z70" s="488">
        <v>0.89216172299489449</v>
      </c>
      <c r="AA70" s="489" t="s">
        <v>381</v>
      </c>
      <c r="AB70" s="881"/>
      <c r="AP70" s="145"/>
      <c r="AQ70" s="147"/>
      <c r="AR70" s="145"/>
      <c r="AS70" s="145"/>
      <c r="AT70" s="145"/>
      <c r="AU70" s="145"/>
      <c r="AV70" s="145"/>
      <c r="AW70" s="145"/>
      <c r="AX70" s="145"/>
      <c r="AY70" s="145"/>
      <c r="AZ70" s="145"/>
    </row>
    <row r="71" spans="1:52" ht="30" customHeight="1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N71" s="520" t="s">
        <v>392</v>
      </c>
      <c r="O71" s="481" t="s">
        <v>327</v>
      </c>
      <c r="P71" s="481" t="s">
        <v>350</v>
      </c>
      <c r="Q71" s="481">
        <v>1913613</v>
      </c>
      <c r="R71" s="481">
        <v>200</v>
      </c>
      <c r="S71" s="481" t="s">
        <v>380</v>
      </c>
      <c r="T71" s="486">
        <v>43806</v>
      </c>
      <c r="U71" s="481">
        <v>200</v>
      </c>
      <c r="V71" s="481">
        <v>0.14000000000000001</v>
      </c>
      <c r="W71" s="490">
        <v>0.33</v>
      </c>
      <c r="X71" s="491">
        <v>7950</v>
      </c>
      <c r="Y71" s="481">
        <v>140</v>
      </c>
      <c r="Z71" s="488">
        <v>0.89216172299489449</v>
      </c>
      <c r="AA71" s="489" t="s">
        <v>381</v>
      </c>
      <c r="AB71" s="881"/>
      <c r="AP71" s="145"/>
      <c r="AQ71" s="147"/>
      <c r="AR71" s="145"/>
      <c r="AS71" s="145"/>
      <c r="AT71" s="145"/>
      <c r="AU71" s="145"/>
      <c r="AV71" s="145"/>
      <c r="AW71" s="145"/>
      <c r="AX71" s="145"/>
      <c r="AY71" s="145"/>
      <c r="AZ71" s="145"/>
    </row>
    <row r="72" spans="1:52" ht="30" customHeight="1" x14ac:dyDescent="0.2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N72" s="464" t="s">
        <v>393</v>
      </c>
      <c r="O72" s="481" t="s">
        <v>327</v>
      </c>
      <c r="P72" s="481" t="s">
        <v>350</v>
      </c>
      <c r="Q72" s="481">
        <v>1913613</v>
      </c>
      <c r="R72" s="481" t="s">
        <v>394</v>
      </c>
      <c r="S72" s="481" t="s">
        <v>380</v>
      </c>
      <c r="T72" s="486">
        <v>43806</v>
      </c>
      <c r="U72" s="481">
        <v>200</v>
      </c>
      <c r="V72" s="481">
        <v>0.3</v>
      </c>
      <c r="W72" s="490">
        <v>0.33</v>
      </c>
      <c r="X72" s="491">
        <v>7950</v>
      </c>
      <c r="Y72" s="481">
        <v>140</v>
      </c>
      <c r="Z72" s="488">
        <v>0.89216172299489449</v>
      </c>
      <c r="AA72" s="489" t="s">
        <v>381</v>
      </c>
      <c r="AB72" s="881"/>
      <c r="AP72" s="145"/>
      <c r="AQ72" s="147"/>
      <c r="AR72" s="145"/>
      <c r="AS72" s="145"/>
      <c r="AT72" s="145"/>
      <c r="AU72" s="145"/>
      <c r="AV72" s="145"/>
      <c r="AW72" s="145"/>
      <c r="AX72" s="145"/>
      <c r="AY72" s="145"/>
      <c r="AZ72" s="145"/>
    </row>
    <row r="73" spans="1:52" ht="30" customHeight="1" x14ac:dyDescent="0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N73" s="520" t="s">
        <v>395</v>
      </c>
      <c r="O73" s="481" t="s">
        <v>327</v>
      </c>
      <c r="P73" s="481" t="s">
        <v>350</v>
      </c>
      <c r="Q73" s="481">
        <v>1913613</v>
      </c>
      <c r="R73" s="481">
        <v>500</v>
      </c>
      <c r="S73" s="481" t="s">
        <v>380</v>
      </c>
      <c r="T73" s="486">
        <v>43806</v>
      </c>
      <c r="U73" s="481">
        <v>500</v>
      </c>
      <c r="V73" s="481">
        <v>0.68</v>
      </c>
      <c r="W73" s="490">
        <v>0.83</v>
      </c>
      <c r="X73" s="491">
        <v>7950</v>
      </c>
      <c r="Y73" s="481">
        <v>140</v>
      </c>
      <c r="Z73" s="488">
        <v>0.89216172299489449</v>
      </c>
      <c r="AA73" s="489" t="s">
        <v>381</v>
      </c>
      <c r="AB73" s="881"/>
      <c r="AP73" s="145"/>
      <c r="AQ73" s="147"/>
      <c r="AR73" s="145"/>
      <c r="AS73" s="145"/>
      <c r="AT73" s="145"/>
      <c r="AU73" s="145"/>
      <c r="AV73" s="145"/>
      <c r="AW73" s="145"/>
      <c r="AX73" s="145"/>
      <c r="AY73" s="145"/>
      <c r="AZ73" s="145"/>
    </row>
    <row r="74" spans="1:52" ht="30" customHeight="1" x14ac:dyDescent="0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N74" s="520" t="s">
        <v>396</v>
      </c>
      <c r="O74" s="481" t="s">
        <v>327</v>
      </c>
      <c r="P74" s="481" t="s">
        <v>350</v>
      </c>
      <c r="Q74" s="481">
        <v>1913613</v>
      </c>
      <c r="R74" s="481">
        <v>1</v>
      </c>
      <c r="S74" s="481" t="s">
        <v>380</v>
      </c>
      <c r="T74" s="486">
        <v>43806</v>
      </c>
      <c r="U74" s="481">
        <v>1000</v>
      </c>
      <c r="V74" s="481">
        <v>1.6</v>
      </c>
      <c r="W74" s="490">
        <v>1.7</v>
      </c>
      <c r="X74" s="491">
        <v>7950</v>
      </c>
      <c r="Y74" s="481">
        <v>140</v>
      </c>
      <c r="Z74" s="488">
        <v>0.89216172299489449</v>
      </c>
      <c r="AA74" s="489" t="s">
        <v>381</v>
      </c>
      <c r="AB74" s="881"/>
      <c r="AP74" s="145"/>
      <c r="AQ74" s="147"/>
      <c r="AR74" s="145"/>
      <c r="AS74" s="145"/>
      <c r="AT74" s="145"/>
      <c r="AU74" s="145"/>
      <c r="AV74" s="145"/>
      <c r="AW74" s="145"/>
      <c r="AX74" s="145"/>
      <c r="AY74" s="145"/>
      <c r="AZ74" s="145"/>
    </row>
    <row r="75" spans="1:52" ht="30" customHeight="1" x14ac:dyDescent="0.2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N75" s="520" t="s">
        <v>397</v>
      </c>
      <c r="O75" s="481" t="s">
        <v>327</v>
      </c>
      <c r="P75" s="481" t="s">
        <v>350</v>
      </c>
      <c r="Q75" s="481">
        <v>1913613</v>
      </c>
      <c r="R75" s="481">
        <v>2</v>
      </c>
      <c r="S75" s="481" t="s">
        <v>380</v>
      </c>
      <c r="T75" s="486">
        <v>43806</v>
      </c>
      <c r="U75" s="481">
        <v>2000</v>
      </c>
      <c r="V75" s="481">
        <v>4</v>
      </c>
      <c r="W75" s="490">
        <v>3.3</v>
      </c>
      <c r="X75" s="491">
        <v>7950</v>
      </c>
      <c r="Y75" s="481">
        <v>140</v>
      </c>
      <c r="Z75" s="488">
        <v>0.89216172299489449</v>
      </c>
      <c r="AA75" s="489" t="s">
        <v>381</v>
      </c>
      <c r="AB75" s="881"/>
      <c r="AP75" s="145"/>
      <c r="AQ75" s="147"/>
      <c r="AR75" s="145"/>
      <c r="AS75" s="145"/>
      <c r="AT75" s="145"/>
      <c r="AU75" s="145"/>
      <c r="AV75" s="145"/>
      <c r="AW75" s="145"/>
      <c r="AX75" s="145"/>
      <c r="AY75" s="145"/>
      <c r="AZ75" s="145"/>
    </row>
    <row r="76" spans="1:52" ht="30" customHeight="1" x14ac:dyDescent="0.2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N76" s="464" t="s">
        <v>398</v>
      </c>
      <c r="O76" s="481" t="s">
        <v>327</v>
      </c>
      <c r="P76" s="481" t="s">
        <v>350</v>
      </c>
      <c r="Q76" s="481">
        <v>1913613</v>
      </c>
      <c r="R76" s="481" t="s">
        <v>384</v>
      </c>
      <c r="S76" s="481" t="s">
        <v>380</v>
      </c>
      <c r="T76" s="486">
        <v>43806</v>
      </c>
      <c r="U76" s="481">
        <v>2000</v>
      </c>
      <c r="V76" s="481">
        <v>1.4</v>
      </c>
      <c r="W76" s="490">
        <v>3.3</v>
      </c>
      <c r="X76" s="491">
        <v>7950</v>
      </c>
      <c r="Y76" s="481">
        <v>140</v>
      </c>
      <c r="Z76" s="488">
        <v>0.89216172299489449</v>
      </c>
      <c r="AA76" s="489" t="s">
        <v>381</v>
      </c>
      <c r="AB76" s="881"/>
      <c r="AP76" s="145"/>
      <c r="AQ76" s="147"/>
      <c r="AR76" s="145"/>
      <c r="AS76" s="145"/>
      <c r="AT76" s="145"/>
      <c r="AU76" s="145"/>
      <c r="AV76" s="145"/>
      <c r="AW76" s="145"/>
      <c r="AX76" s="145"/>
      <c r="AY76" s="145"/>
      <c r="AZ76" s="145"/>
    </row>
    <row r="77" spans="1:52" ht="30" customHeight="1" thickBot="1" x14ac:dyDescent="0.3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N77" s="521" t="s">
        <v>399</v>
      </c>
      <c r="O77" s="493" t="s">
        <v>327</v>
      </c>
      <c r="P77" s="493" t="s">
        <v>350</v>
      </c>
      <c r="Q77" s="493">
        <v>1913613</v>
      </c>
      <c r="R77" s="493">
        <v>5</v>
      </c>
      <c r="S77" s="493" t="s">
        <v>380</v>
      </c>
      <c r="T77" s="506">
        <v>43806</v>
      </c>
      <c r="U77" s="493">
        <v>5000</v>
      </c>
      <c r="V77" s="493">
        <v>-0.9</v>
      </c>
      <c r="W77" s="522">
        <v>8.3000000000000007</v>
      </c>
      <c r="X77" s="495">
        <v>7950</v>
      </c>
      <c r="Y77" s="493">
        <v>140</v>
      </c>
      <c r="Z77" s="507">
        <v>0.89216172299489449</v>
      </c>
      <c r="AA77" s="499" t="s">
        <v>381</v>
      </c>
      <c r="AB77" s="882"/>
      <c r="AP77" s="145"/>
      <c r="AQ77" s="147"/>
      <c r="AR77" s="145"/>
      <c r="AS77" s="145"/>
      <c r="AT77" s="145"/>
      <c r="AU77" s="145"/>
      <c r="AV77" s="145"/>
      <c r="AW77" s="145"/>
      <c r="AX77" s="145"/>
      <c r="AY77" s="145"/>
      <c r="AZ77" s="145"/>
    </row>
    <row r="78" spans="1:52" ht="30" customHeight="1" x14ac:dyDescent="0.2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N78" s="538" t="s">
        <v>329</v>
      </c>
      <c r="O78" s="539" t="s">
        <v>330</v>
      </c>
      <c r="P78" s="539" t="s">
        <v>331</v>
      </c>
      <c r="Q78" s="539" t="s">
        <v>332</v>
      </c>
      <c r="R78" s="539" t="s">
        <v>92</v>
      </c>
      <c r="S78" s="539" t="s">
        <v>333</v>
      </c>
      <c r="T78" s="540">
        <v>43818</v>
      </c>
      <c r="U78" s="539">
        <v>20000</v>
      </c>
      <c r="V78" s="539">
        <v>9</v>
      </c>
      <c r="W78" s="541">
        <v>10</v>
      </c>
      <c r="X78" s="542">
        <v>8000</v>
      </c>
      <c r="Y78" s="539">
        <v>100</v>
      </c>
      <c r="Z78" s="543">
        <v>1.1168804533887862</v>
      </c>
      <c r="AA78" s="544" t="s">
        <v>334</v>
      </c>
      <c r="AB78" s="677">
        <v>2</v>
      </c>
      <c r="AP78" s="145"/>
      <c r="AQ78" s="147"/>
      <c r="AR78" s="145"/>
      <c r="AS78" s="145"/>
      <c r="AT78" s="145"/>
      <c r="AU78" s="145"/>
      <c r="AV78" s="145"/>
      <c r="AW78" s="145"/>
      <c r="AX78" s="145"/>
      <c r="AY78" s="145"/>
      <c r="AZ78" s="145"/>
    </row>
    <row r="79" spans="1:52" ht="30" customHeight="1" x14ac:dyDescent="0.2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N79" s="538" t="s">
        <v>335</v>
      </c>
      <c r="O79" s="539" t="s">
        <v>327</v>
      </c>
      <c r="P79" s="539" t="s">
        <v>331</v>
      </c>
      <c r="Q79" s="539" t="s">
        <v>336</v>
      </c>
      <c r="R79" s="539">
        <v>20</v>
      </c>
      <c r="S79" s="539" t="s">
        <v>337</v>
      </c>
      <c r="T79" s="540">
        <v>43755</v>
      </c>
      <c r="U79" s="539">
        <v>20000</v>
      </c>
      <c r="V79" s="539">
        <v>31</v>
      </c>
      <c r="W79" s="541">
        <v>30</v>
      </c>
      <c r="X79" s="542">
        <v>8000</v>
      </c>
      <c r="Y79" s="539">
        <v>100</v>
      </c>
      <c r="Z79" s="543">
        <v>1.1147179736646964</v>
      </c>
      <c r="AA79" s="544" t="s">
        <v>338</v>
      </c>
      <c r="AB79" s="678">
        <v>2</v>
      </c>
      <c r="AP79" s="145"/>
      <c r="AQ79" s="147"/>
      <c r="AR79" s="145"/>
      <c r="AS79" s="145"/>
      <c r="AT79" s="145"/>
      <c r="AU79" s="145"/>
      <c r="AV79" s="145"/>
      <c r="AW79" s="145"/>
      <c r="AX79" s="145"/>
      <c r="AY79" s="145"/>
      <c r="AZ79" s="145"/>
    </row>
    <row r="80" spans="1:52" ht="30" customHeight="1" x14ac:dyDescent="0.2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N80" s="538" t="s">
        <v>339</v>
      </c>
      <c r="O80" s="539" t="s">
        <v>327</v>
      </c>
      <c r="P80" s="539" t="s">
        <v>331</v>
      </c>
      <c r="Q80" s="539" t="s">
        <v>340</v>
      </c>
      <c r="R80" s="539" t="s">
        <v>341</v>
      </c>
      <c r="S80" s="539" t="s">
        <v>342</v>
      </c>
      <c r="T80" s="540">
        <v>43755</v>
      </c>
      <c r="U80" s="539">
        <v>20000</v>
      </c>
      <c r="V80" s="539">
        <v>3</v>
      </c>
      <c r="W80" s="541">
        <v>30</v>
      </c>
      <c r="X80" s="542">
        <v>8000</v>
      </c>
      <c r="Y80" s="539">
        <v>100</v>
      </c>
      <c r="Z80" s="543">
        <v>1.1143942824443431</v>
      </c>
      <c r="AA80" s="544" t="s">
        <v>343</v>
      </c>
      <c r="AB80" s="678">
        <v>2</v>
      </c>
      <c r="AP80" s="145"/>
      <c r="AQ80" s="147"/>
      <c r="AR80" s="145"/>
      <c r="AS80" s="145"/>
      <c r="AT80" s="145"/>
      <c r="AU80" s="145"/>
      <c r="AV80" s="145"/>
      <c r="AW80" s="145"/>
      <c r="AX80" s="145"/>
      <c r="AY80" s="145"/>
      <c r="AZ80" s="145"/>
    </row>
    <row r="81" spans="1:52" ht="30" customHeight="1" x14ac:dyDescent="0.2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N81" s="538" t="s">
        <v>344</v>
      </c>
      <c r="O81" s="539" t="s">
        <v>327</v>
      </c>
      <c r="P81" s="539" t="s">
        <v>331</v>
      </c>
      <c r="Q81" s="539" t="s">
        <v>345</v>
      </c>
      <c r="R81" s="539" t="s">
        <v>346</v>
      </c>
      <c r="S81" s="539" t="s">
        <v>347</v>
      </c>
      <c r="T81" s="540">
        <v>43755</v>
      </c>
      <c r="U81" s="539">
        <v>20000</v>
      </c>
      <c r="V81" s="539">
        <v>37</v>
      </c>
      <c r="W81" s="541">
        <v>30</v>
      </c>
      <c r="X81" s="542">
        <v>8000</v>
      </c>
      <c r="Y81" s="539">
        <v>100</v>
      </c>
      <c r="Z81" s="543">
        <v>1.1148360024538582</v>
      </c>
      <c r="AA81" s="544" t="s">
        <v>348</v>
      </c>
      <c r="AB81" s="678">
        <v>2</v>
      </c>
      <c r="AP81" s="145"/>
      <c r="AQ81" s="147"/>
      <c r="AR81" s="145"/>
      <c r="AS81" s="145"/>
      <c r="AT81" s="145"/>
      <c r="AU81" s="145"/>
      <c r="AV81" s="145"/>
      <c r="AW81" s="145"/>
      <c r="AX81" s="145"/>
      <c r="AY81" s="145"/>
      <c r="AZ81" s="145"/>
    </row>
    <row r="82" spans="1:52" ht="30" customHeight="1" x14ac:dyDescent="0.2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N82" s="538" t="s">
        <v>349</v>
      </c>
      <c r="O82" s="539" t="s">
        <v>327</v>
      </c>
      <c r="P82" s="539" t="s">
        <v>350</v>
      </c>
      <c r="Q82" s="539">
        <v>1913624</v>
      </c>
      <c r="R82" s="539" t="s">
        <v>351</v>
      </c>
      <c r="S82" s="539" t="s">
        <v>352</v>
      </c>
      <c r="T82" s="540">
        <v>43799</v>
      </c>
      <c r="U82" s="539">
        <v>10000</v>
      </c>
      <c r="V82" s="539">
        <v>13</v>
      </c>
      <c r="W82" s="541">
        <v>17</v>
      </c>
      <c r="X82" s="542">
        <v>7950</v>
      </c>
      <c r="Y82" s="539">
        <v>140</v>
      </c>
      <c r="Z82" s="543">
        <v>0.89715088932948095</v>
      </c>
      <c r="AA82" s="544" t="s">
        <v>353</v>
      </c>
      <c r="AB82" s="678">
        <v>2</v>
      </c>
      <c r="AP82" s="145"/>
      <c r="AQ82" s="147"/>
      <c r="AR82" s="145"/>
      <c r="AS82" s="145"/>
      <c r="AT82" s="145"/>
      <c r="AU82" s="145"/>
      <c r="AV82" s="145"/>
      <c r="AW82" s="145"/>
      <c r="AX82" s="145"/>
      <c r="AY82" s="145"/>
      <c r="AZ82" s="145"/>
    </row>
    <row r="83" spans="1:52" ht="30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N83" s="538" t="s">
        <v>354</v>
      </c>
      <c r="O83" s="539" t="s">
        <v>327</v>
      </c>
      <c r="P83" s="539" t="s">
        <v>350</v>
      </c>
      <c r="Q83" s="539">
        <v>1913626</v>
      </c>
      <c r="R83" s="539" t="s">
        <v>355</v>
      </c>
      <c r="S83" s="539" t="s">
        <v>356</v>
      </c>
      <c r="T83" s="540">
        <v>43799</v>
      </c>
      <c r="U83" s="539">
        <v>10000</v>
      </c>
      <c r="V83" s="539">
        <v>8.1</v>
      </c>
      <c r="W83" s="541">
        <v>17</v>
      </c>
      <c r="X83" s="542">
        <v>7950</v>
      </c>
      <c r="Y83" s="539">
        <v>140</v>
      </c>
      <c r="Z83" s="543">
        <v>0.89743837197535847</v>
      </c>
      <c r="AA83" s="544" t="s">
        <v>357</v>
      </c>
      <c r="AB83" s="678">
        <v>2</v>
      </c>
      <c r="AP83" s="145"/>
      <c r="AQ83" s="147"/>
      <c r="AR83" s="145"/>
      <c r="AS83" s="145"/>
      <c r="AT83" s="145"/>
      <c r="AU83" s="145"/>
      <c r="AV83" s="145"/>
      <c r="AW83" s="145"/>
      <c r="AX83" s="145"/>
      <c r="AY83" s="145"/>
      <c r="AZ83" s="145"/>
    </row>
    <row r="84" spans="1:52" ht="30" customHeight="1" thickBot="1" x14ac:dyDescent="0.3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N84" s="545" t="s">
        <v>358</v>
      </c>
      <c r="O84" s="546" t="s">
        <v>327</v>
      </c>
      <c r="P84" s="546" t="s">
        <v>350</v>
      </c>
      <c r="Q84" s="546">
        <v>1913622</v>
      </c>
      <c r="R84" s="546" t="s">
        <v>359</v>
      </c>
      <c r="S84" s="546" t="s">
        <v>360</v>
      </c>
      <c r="T84" s="547">
        <v>43799</v>
      </c>
      <c r="U84" s="546">
        <v>5000</v>
      </c>
      <c r="V84" s="546">
        <v>6.6</v>
      </c>
      <c r="W84" s="546">
        <v>8.3000000000000007</v>
      </c>
      <c r="X84" s="444">
        <v>7950</v>
      </c>
      <c r="Y84" s="546">
        <v>140</v>
      </c>
      <c r="Z84" s="548">
        <v>0.89744939970665871</v>
      </c>
      <c r="AA84" s="549" t="s">
        <v>361</v>
      </c>
      <c r="AB84" s="679">
        <v>2</v>
      </c>
      <c r="AP84" s="145"/>
      <c r="AQ84" s="147"/>
      <c r="AR84" s="145"/>
      <c r="AS84" s="145"/>
      <c r="AT84" s="145"/>
      <c r="AU84" s="145"/>
      <c r="AV84" s="145"/>
      <c r="AW84" s="145"/>
      <c r="AX84" s="145"/>
      <c r="AY84" s="145"/>
      <c r="AZ84" s="145"/>
    </row>
    <row r="85" spans="1:52" ht="30" customHeight="1" x14ac:dyDescent="0.2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N85" s="523" t="s">
        <v>362</v>
      </c>
      <c r="O85" s="524" t="s">
        <v>96</v>
      </c>
      <c r="P85" s="524" t="s">
        <v>87</v>
      </c>
      <c r="Q85" s="524" t="s">
        <v>363</v>
      </c>
      <c r="R85" s="524" t="s">
        <v>92</v>
      </c>
      <c r="S85" s="524">
        <v>1392</v>
      </c>
      <c r="T85" s="525">
        <v>43228</v>
      </c>
      <c r="U85" s="524">
        <v>1</v>
      </c>
      <c r="V85" s="524">
        <v>0.04</v>
      </c>
      <c r="W85" s="524">
        <v>3.3000000000000002E-2</v>
      </c>
      <c r="X85" s="526">
        <v>7950</v>
      </c>
      <c r="Y85" s="524">
        <v>140</v>
      </c>
      <c r="Z85" s="527">
        <v>0.88977157529109774</v>
      </c>
      <c r="AA85" s="528" t="s">
        <v>137</v>
      </c>
      <c r="AB85" s="880">
        <v>2</v>
      </c>
      <c r="AP85" s="145"/>
      <c r="AQ85" s="147"/>
      <c r="AR85" s="145"/>
      <c r="AS85" s="145"/>
      <c r="AT85" s="145"/>
      <c r="AU85" s="145"/>
      <c r="AV85" s="145"/>
      <c r="AW85" s="145"/>
      <c r="AX85" s="145"/>
      <c r="AY85" s="145"/>
      <c r="AZ85" s="145"/>
    </row>
    <row r="86" spans="1:52" ht="30" customHeight="1" x14ac:dyDescent="0.2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N86" s="529" t="s">
        <v>364</v>
      </c>
      <c r="O86" s="450" t="s">
        <v>96</v>
      </c>
      <c r="P86" s="450" t="s">
        <v>87</v>
      </c>
      <c r="Q86" s="450" t="s">
        <v>363</v>
      </c>
      <c r="R86" s="450" t="s">
        <v>92</v>
      </c>
      <c r="S86" s="450">
        <v>1392</v>
      </c>
      <c r="T86" s="451">
        <v>43228</v>
      </c>
      <c r="U86" s="450">
        <v>2</v>
      </c>
      <c r="V86" s="450">
        <v>0.04</v>
      </c>
      <c r="W86" s="454">
        <v>0.04</v>
      </c>
      <c r="X86" s="452">
        <v>7950</v>
      </c>
      <c r="Y86" s="450">
        <v>140</v>
      </c>
      <c r="Z86" s="453">
        <v>0.88977157529109774</v>
      </c>
      <c r="AA86" s="530" t="s">
        <v>137</v>
      </c>
      <c r="AB86" s="881"/>
      <c r="AP86" s="145"/>
      <c r="AQ86" s="147"/>
      <c r="AR86" s="145"/>
      <c r="AS86" s="145"/>
      <c r="AT86" s="145"/>
      <c r="AU86" s="145"/>
      <c r="AV86" s="145"/>
      <c r="AW86" s="145"/>
      <c r="AX86" s="145"/>
      <c r="AY86" s="145"/>
      <c r="AZ86" s="145"/>
    </row>
    <row r="87" spans="1:52" ht="30" customHeight="1" x14ac:dyDescent="0.2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N87" s="529" t="s">
        <v>365</v>
      </c>
      <c r="O87" s="450" t="s">
        <v>96</v>
      </c>
      <c r="P87" s="450" t="s">
        <v>87</v>
      </c>
      <c r="Q87" s="450" t="s">
        <v>363</v>
      </c>
      <c r="R87" s="450" t="s">
        <v>94</v>
      </c>
      <c r="S87" s="450">
        <v>1392</v>
      </c>
      <c r="T87" s="451">
        <v>43228</v>
      </c>
      <c r="U87" s="450">
        <v>2</v>
      </c>
      <c r="V87" s="450">
        <v>0.05</v>
      </c>
      <c r="W87" s="450">
        <v>0.04</v>
      </c>
      <c r="X87" s="452">
        <v>7950</v>
      </c>
      <c r="Y87" s="450">
        <v>140</v>
      </c>
      <c r="Z87" s="453">
        <v>0.88977157529109774</v>
      </c>
      <c r="AA87" s="530" t="s">
        <v>137</v>
      </c>
      <c r="AB87" s="881"/>
      <c r="AP87" s="145"/>
      <c r="AQ87" s="147"/>
      <c r="AR87" s="145"/>
      <c r="AS87" s="145"/>
      <c r="AT87" s="145"/>
      <c r="AU87" s="145"/>
      <c r="AV87" s="145"/>
      <c r="AW87" s="145"/>
      <c r="AX87" s="145"/>
      <c r="AY87" s="145"/>
      <c r="AZ87" s="145"/>
    </row>
    <row r="88" spans="1:52" ht="30" customHeight="1" x14ac:dyDescent="0.2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N88" s="529" t="s">
        <v>366</v>
      </c>
      <c r="O88" s="450" t="s">
        <v>96</v>
      </c>
      <c r="P88" s="450" t="s">
        <v>87</v>
      </c>
      <c r="Q88" s="450" t="s">
        <v>363</v>
      </c>
      <c r="R88" s="450" t="s">
        <v>92</v>
      </c>
      <c r="S88" s="450">
        <v>1392</v>
      </c>
      <c r="T88" s="451">
        <v>43228</v>
      </c>
      <c r="U88" s="450">
        <v>5</v>
      </c>
      <c r="V88" s="450">
        <v>7.0000000000000007E-2</v>
      </c>
      <c r="W88" s="454">
        <v>5.2999999999999999E-2</v>
      </c>
      <c r="X88" s="452">
        <v>7840</v>
      </c>
      <c r="Y88" s="450">
        <v>140</v>
      </c>
      <c r="Z88" s="453">
        <v>0.88977157529109774</v>
      </c>
      <c r="AA88" s="530" t="s">
        <v>137</v>
      </c>
      <c r="AB88" s="881"/>
      <c r="AP88" s="145"/>
      <c r="AQ88" s="147"/>
      <c r="AR88" s="145"/>
      <c r="AS88" s="145"/>
      <c r="AT88" s="145"/>
      <c r="AU88" s="145"/>
      <c r="AV88" s="145"/>
      <c r="AW88" s="145"/>
      <c r="AX88" s="145"/>
      <c r="AY88" s="145"/>
      <c r="AZ88" s="145"/>
    </row>
    <row r="89" spans="1:52" ht="30" customHeight="1" x14ac:dyDescent="0.2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N89" s="529" t="s">
        <v>367</v>
      </c>
      <c r="O89" s="450" t="s">
        <v>96</v>
      </c>
      <c r="P89" s="450" t="s">
        <v>87</v>
      </c>
      <c r="Q89" s="450" t="s">
        <v>363</v>
      </c>
      <c r="R89" s="450" t="s">
        <v>92</v>
      </c>
      <c r="S89" s="450">
        <v>1392</v>
      </c>
      <c r="T89" s="451">
        <v>43228</v>
      </c>
      <c r="U89" s="450">
        <v>10</v>
      </c>
      <c r="V89" s="450">
        <v>0.09</v>
      </c>
      <c r="W89" s="454">
        <v>0.06</v>
      </c>
      <c r="X89" s="452">
        <v>7840</v>
      </c>
      <c r="Y89" s="450">
        <v>140</v>
      </c>
      <c r="Z89" s="453">
        <v>0.88977157529109774</v>
      </c>
      <c r="AA89" s="530" t="s">
        <v>137</v>
      </c>
      <c r="AB89" s="881"/>
      <c r="AP89" s="145"/>
      <c r="AQ89" s="147"/>
      <c r="AR89" s="145"/>
      <c r="AS89" s="145"/>
      <c r="AT89" s="145"/>
      <c r="AU89" s="145"/>
      <c r="AV89" s="145"/>
      <c r="AW89" s="145"/>
      <c r="AX89" s="145"/>
      <c r="AY89" s="145"/>
      <c r="AZ89" s="145"/>
    </row>
    <row r="90" spans="1:52" ht="30" customHeight="1" x14ac:dyDescent="0.2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N90" s="529" t="s">
        <v>368</v>
      </c>
      <c r="O90" s="450" t="s">
        <v>96</v>
      </c>
      <c r="P90" s="450" t="s">
        <v>87</v>
      </c>
      <c r="Q90" s="450" t="s">
        <v>363</v>
      </c>
      <c r="R90" s="450" t="s">
        <v>92</v>
      </c>
      <c r="S90" s="450">
        <v>1392</v>
      </c>
      <c r="T90" s="451">
        <v>43228</v>
      </c>
      <c r="U90" s="450">
        <v>20</v>
      </c>
      <c r="V90" s="450">
        <v>0.11</v>
      </c>
      <c r="W90" s="454">
        <v>8.3000000000000004E-2</v>
      </c>
      <c r="X90" s="452">
        <v>7840</v>
      </c>
      <c r="Y90" s="450">
        <v>140</v>
      </c>
      <c r="Z90" s="453">
        <v>0.88977157529109774</v>
      </c>
      <c r="AA90" s="530" t="s">
        <v>137</v>
      </c>
      <c r="AB90" s="881"/>
      <c r="AP90" s="145"/>
      <c r="AQ90" s="147"/>
      <c r="AR90" s="145"/>
      <c r="AS90" s="145"/>
      <c r="AT90" s="145"/>
      <c r="AU90" s="145"/>
      <c r="AV90" s="145"/>
      <c r="AW90" s="145"/>
      <c r="AX90" s="145"/>
      <c r="AY90" s="145"/>
      <c r="AZ90" s="145"/>
    </row>
    <row r="91" spans="1:52" ht="30" customHeight="1" x14ac:dyDescent="0.2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N91" s="529" t="s">
        <v>369</v>
      </c>
      <c r="O91" s="450" t="s">
        <v>96</v>
      </c>
      <c r="P91" s="450" t="s">
        <v>87</v>
      </c>
      <c r="Q91" s="450" t="s">
        <v>363</v>
      </c>
      <c r="R91" s="450" t="s">
        <v>94</v>
      </c>
      <c r="S91" s="450">
        <v>1392</v>
      </c>
      <c r="T91" s="451">
        <v>43228</v>
      </c>
      <c r="U91" s="450">
        <v>20</v>
      </c>
      <c r="V91" s="450">
        <v>0.1</v>
      </c>
      <c r="W91" s="450">
        <v>8.3000000000000004E-2</v>
      </c>
      <c r="X91" s="452">
        <v>7840</v>
      </c>
      <c r="Y91" s="450">
        <v>140</v>
      </c>
      <c r="Z91" s="453">
        <v>0.88977157529109774</v>
      </c>
      <c r="AA91" s="530" t="s">
        <v>137</v>
      </c>
      <c r="AB91" s="881"/>
      <c r="AP91" s="145"/>
      <c r="AQ91" s="147"/>
      <c r="AR91" s="145"/>
      <c r="AS91" s="145"/>
      <c r="AT91" s="145"/>
      <c r="AU91" s="145"/>
      <c r="AV91" s="145"/>
      <c r="AW91" s="145"/>
      <c r="AX91" s="145"/>
      <c r="AY91" s="145"/>
      <c r="AZ91" s="145"/>
    </row>
    <row r="92" spans="1:52" ht="30" customHeight="1" x14ac:dyDescent="0.2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N92" s="529" t="s">
        <v>370</v>
      </c>
      <c r="O92" s="450" t="s">
        <v>96</v>
      </c>
      <c r="P92" s="450" t="s">
        <v>87</v>
      </c>
      <c r="Q92" s="450" t="s">
        <v>363</v>
      </c>
      <c r="R92" s="450" t="s">
        <v>92</v>
      </c>
      <c r="S92" s="450">
        <v>1392</v>
      </c>
      <c r="T92" s="451">
        <v>43228</v>
      </c>
      <c r="U92" s="450">
        <v>50</v>
      </c>
      <c r="V92" s="450">
        <v>0.1</v>
      </c>
      <c r="W92" s="450">
        <v>0.1</v>
      </c>
      <c r="X92" s="452">
        <v>7840</v>
      </c>
      <c r="Y92" s="450">
        <v>140</v>
      </c>
      <c r="Z92" s="453">
        <v>0.88977157529109774</v>
      </c>
      <c r="AA92" s="530" t="s">
        <v>137</v>
      </c>
      <c r="AB92" s="881"/>
      <c r="AP92" s="145"/>
      <c r="AQ92" s="147"/>
      <c r="AR92" s="145"/>
      <c r="AS92" s="145"/>
      <c r="AT92" s="145"/>
      <c r="AU92" s="145"/>
      <c r="AV92" s="145"/>
      <c r="AW92" s="145"/>
      <c r="AX92" s="145"/>
      <c r="AY92" s="145"/>
      <c r="AZ92" s="145"/>
    </row>
    <row r="93" spans="1:52" ht="30" customHeight="1" x14ac:dyDescent="0.2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N93" s="531" t="s">
        <v>371</v>
      </c>
      <c r="O93" s="450" t="s">
        <v>96</v>
      </c>
      <c r="P93" s="450" t="s">
        <v>87</v>
      </c>
      <c r="Q93" s="450" t="s">
        <v>363</v>
      </c>
      <c r="R93" s="450" t="s">
        <v>92</v>
      </c>
      <c r="S93" s="450">
        <v>1392</v>
      </c>
      <c r="T93" s="451">
        <v>43228</v>
      </c>
      <c r="U93" s="450">
        <v>100</v>
      </c>
      <c r="V93" s="450">
        <v>0.12</v>
      </c>
      <c r="W93" s="450">
        <v>0.16</v>
      </c>
      <c r="X93" s="452">
        <v>7840</v>
      </c>
      <c r="Y93" s="450">
        <v>140</v>
      </c>
      <c r="Z93" s="453">
        <v>0.88977157529109774</v>
      </c>
      <c r="AA93" s="530" t="s">
        <v>137</v>
      </c>
      <c r="AB93" s="881"/>
      <c r="AP93" s="145"/>
      <c r="AQ93" s="147"/>
      <c r="AR93" s="145"/>
      <c r="AS93" s="145"/>
      <c r="AT93" s="145"/>
      <c r="AU93" s="145"/>
      <c r="AV93" s="145"/>
      <c r="AW93" s="145"/>
      <c r="AX93" s="145"/>
      <c r="AY93" s="145"/>
      <c r="AZ93" s="145"/>
    </row>
    <row r="94" spans="1:52" ht="30" customHeight="1" x14ac:dyDescent="0.2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N94" s="529" t="s">
        <v>372</v>
      </c>
      <c r="O94" s="450" t="s">
        <v>96</v>
      </c>
      <c r="P94" s="450" t="s">
        <v>87</v>
      </c>
      <c r="Q94" s="450" t="s">
        <v>363</v>
      </c>
      <c r="R94" s="450" t="s">
        <v>92</v>
      </c>
      <c r="S94" s="450">
        <v>1392</v>
      </c>
      <c r="T94" s="451">
        <v>43228</v>
      </c>
      <c r="U94" s="450">
        <v>200</v>
      </c>
      <c r="V94" s="450">
        <v>0.3</v>
      </c>
      <c r="W94" s="450">
        <v>0.33</v>
      </c>
      <c r="X94" s="452">
        <v>7840</v>
      </c>
      <c r="Y94" s="450">
        <v>140</v>
      </c>
      <c r="Z94" s="453">
        <v>0.88977157529109774</v>
      </c>
      <c r="AA94" s="530" t="s">
        <v>137</v>
      </c>
      <c r="AB94" s="881"/>
      <c r="AP94" s="145"/>
      <c r="AQ94" s="147"/>
      <c r="AR94" s="145"/>
      <c r="AS94" s="145"/>
      <c r="AT94" s="145"/>
      <c r="AU94" s="145"/>
      <c r="AV94" s="145"/>
      <c r="AW94" s="145"/>
      <c r="AX94" s="145"/>
      <c r="AY94" s="145"/>
      <c r="AZ94" s="145"/>
    </row>
    <row r="95" spans="1:52" ht="30" customHeight="1" x14ac:dyDescent="0.2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N95" s="531" t="s">
        <v>373</v>
      </c>
      <c r="O95" s="450" t="s">
        <v>96</v>
      </c>
      <c r="P95" s="450" t="s">
        <v>87</v>
      </c>
      <c r="Q95" s="450" t="s">
        <v>363</v>
      </c>
      <c r="R95" s="450" t="s">
        <v>94</v>
      </c>
      <c r="S95" s="450">
        <v>1392</v>
      </c>
      <c r="T95" s="451">
        <v>43228</v>
      </c>
      <c r="U95" s="450">
        <v>200</v>
      </c>
      <c r="V95" s="450">
        <v>0.4</v>
      </c>
      <c r="W95" s="450">
        <v>0.33</v>
      </c>
      <c r="X95" s="452">
        <v>7840</v>
      </c>
      <c r="Y95" s="450">
        <v>140</v>
      </c>
      <c r="Z95" s="453">
        <v>0.88977157529109774</v>
      </c>
      <c r="AA95" s="530" t="s">
        <v>137</v>
      </c>
      <c r="AB95" s="881"/>
      <c r="AP95" s="145"/>
      <c r="AQ95" s="147"/>
      <c r="AR95" s="145"/>
      <c r="AS95" s="145"/>
      <c r="AT95" s="145"/>
      <c r="AU95" s="145"/>
      <c r="AV95" s="145"/>
      <c r="AW95" s="145"/>
      <c r="AX95" s="145"/>
      <c r="AY95" s="145"/>
      <c r="AZ95" s="145"/>
    </row>
    <row r="96" spans="1:52" ht="30" customHeight="1" x14ac:dyDescent="0.2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N96" s="529" t="s">
        <v>374</v>
      </c>
      <c r="O96" s="450" t="s">
        <v>96</v>
      </c>
      <c r="P96" s="450" t="s">
        <v>87</v>
      </c>
      <c r="Q96" s="450" t="s">
        <v>363</v>
      </c>
      <c r="R96" s="450" t="s">
        <v>92</v>
      </c>
      <c r="S96" s="450">
        <v>1392</v>
      </c>
      <c r="T96" s="451">
        <v>43228</v>
      </c>
      <c r="U96" s="450">
        <v>500</v>
      </c>
      <c r="V96" s="450">
        <v>0.9</v>
      </c>
      <c r="W96" s="450">
        <v>0.83</v>
      </c>
      <c r="X96" s="452">
        <v>7840</v>
      </c>
      <c r="Y96" s="450">
        <v>140</v>
      </c>
      <c r="Z96" s="453">
        <v>0.88977157529109774</v>
      </c>
      <c r="AA96" s="530" t="s">
        <v>137</v>
      </c>
      <c r="AB96" s="881"/>
      <c r="AP96" s="145"/>
      <c r="AQ96" s="147"/>
      <c r="AR96" s="145"/>
      <c r="AS96" s="145"/>
      <c r="AT96" s="145"/>
      <c r="AU96" s="145"/>
      <c r="AV96" s="145"/>
      <c r="AW96" s="145"/>
      <c r="AX96" s="145"/>
      <c r="AY96" s="145"/>
      <c r="AZ96" s="145"/>
    </row>
    <row r="97" spans="1:52" ht="30" customHeight="1" x14ac:dyDescent="0.2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N97" s="529" t="s">
        <v>375</v>
      </c>
      <c r="O97" s="450" t="s">
        <v>96</v>
      </c>
      <c r="P97" s="450" t="s">
        <v>87</v>
      </c>
      <c r="Q97" s="450" t="s">
        <v>363</v>
      </c>
      <c r="R97" s="450" t="s">
        <v>92</v>
      </c>
      <c r="S97" s="450">
        <v>1392</v>
      </c>
      <c r="T97" s="451">
        <v>43228</v>
      </c>
      <c r="U97" s="450">
        <v>1000</v>
      </c>
      <c r="V97" s="450">
        <v>-0.5</v>
      </c>
      <c r="W97" s="450">
        <v>1.6</v>
      </c>
      <c r="X97" s="452">
        <v>7840</v>
      </c>
      <c r="Y97" s="450">
        <v>140</v>
      </c>
      <c r="Z97" s="453">
        <v>0.88977157529109774</v>
      </c>
      <c r="AA97" s="530" t="s">
        <v>137</v>
      </c>
      <c r="AB97" s="881"/>
      <c r="AP97" s="145"/>
      <c r="AQ97" s="147"/>
      <c r="AR97" s="145"/>
      <c r="AS97" s="145"/>
      <c r="AT97" s="145"/>
      <c r="AU97" s="145"/>
      <c r="AV97" s="145"/>
      <c r="AW97" s="145"/>
      <c r="AX97" s="145"/>
      <c r="AY97" s="145"/>
      <c r="AZ97" s="145"/>
    </row>
    <row r="98" spans="1:52" ht="30" customHeight="1" x14ac:dyDescent="0.2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N98" s="529" t="s">
        <v>376</v>
      </c>
      <c r="O98" s="450" t="s">
        <v>96</v>
      </c>
      <c r="P98" s="450" t="s">
        <v>87</v>
      </c>
      <c r="Q98" s="450" t="s">
        <v>363</v>
      </c>
      <c r="R98" s="450" t="s">
        <v>92</v>
      </c>
      <c r="S98" s="450">
        <v>1392</v>
      </c>
      <c r="T98" s="451">
        <v>43228</v>
      </c>
      <c r="U98" s="450">
        <v>2000</v>
      </c>
      <c r="V98" s="450">
        <v>3.1</v>
      </c>
      <c r="W98" s="450">
        <v>3</v>
      </c>
      <c r="X98" s="452">
        <v>7840</v>
      </c>
      <c r="Y98" s="450">
        <v>140</v>
      </c>
      <c r="Z98" s="453">
        <v>0.88977157529109774</v>
      </c>
      <c r="AA98" s="530" t="s">
        <v>137</v>
      </c>
      <c r="AB98" s="881"/>
      <c r="AP98" s="145"/>
      <c r="AQ98" s="147"/>
      <c r="AR98" s="145"/>
      <c r="AS98" s="145"/>
      <c r="AT98" s="145"/>
      <c r="AU98" s="145"/>
      <c r="AV98" s="145"/>
      <c r="AW98" s="145"/>
      <c r="AX98" s="145"/>
      <c r="AY98" s="145"/>
      <c r="AZ98" s="145"/>
    </row>
    <row r="99" spans="1:52" ht="30" customHeight="1" x14ac:dyDescent="0.2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N99" s="531" t="s">
        <v>377</v>
      </c>
      <c r="O99" s="450" t="s">
        <v>96</v>
      </c>
      <c r="P99" s="450" t="s">
        <v>87</v>
      </c>
      <c r="Q99" s="450" t="s">
        <v>363</v>
      </c>
      <c r="R99" s="450" t="s">
        <v>94</v>
      </c>
      <c r="S99" s="450">
        <v>1392</v>
      </c>
      <c r="T99" s="451">
        <v>43228</v>
      </c>
      <c r="U99" s="450">
        <v>2000</v>
      </c>
      <c r="V99" s="450">
        <v>3.2</v>
      </c>
      <c r="W99" s="450">
        <v>3</v>
      </c>
      <c r="X99" s="452">
        <v>7840</v>
      </c>
      <c r="Y99" s="450">
        <v>140</v>
      </c>
      <c r="Z99" s="453">
        <v>0.88977157529109774</v>
      </c>
      <c r="AA99" s="530" t="s">
        <v>137</v>
      </c>
      <c r="AB99" s="881"/>
      <c r="AP99" s="145"/>
      <c r="AQ99" s="147"/>
      <c r="AR99" s="145"/>
      <c r="AS99" s="145"/>
      <c r="AT99" s="145"/>
      <c r="AU99" s="145"/>
      <c r="AV99" s="145"/>
      <c r="AW99" s="145"/>
      <c r="AX99" s="145"/>
      <c r="AY99" s="145"/>
      <c r="AZ99" s="145"/>
    </row>
    <row r="100" spans="1:52" ht="30" customHeight="1" thickBot="1" x14ac:dyDescent="0.3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N100" s="529" t="s">
        <v>378</v>
      </c>
      <c r="O100" s="450" t="s">
        <v>96</v>
      </c>
      <c r="P100" s="450" t="s">
        <v>87</v>
      </c>
      <c r="Q100" s="450" t="s">
        <v>363</v>
      </c>
      <c r="R100" s="450" t="s">
        <v>92</v>
      </c>
      <c r="S100" s="450">
        <v>1392</v>
      </c>
      <c r="T100" s="451">
        <v>43228</v>
      </c>
      <c r="U100" s="450">
        <v>5000</v>
      </c>
      <c r="V100" s="450">
        <v>7.9</v>
      </c>
      <c r="W100" s="456">
        <v>8</v>
      </c>
      <c r="X100" s="452">
        <v>7840</v>
      </c>
      <c r="Y100" s="450">
        <v>140</v>
      </c>
      <c r="Z100" s="453">
        <v>0.88977157529109774</v>
      </c>
      <c r="AA100" s="530" t="s">
        <v>137</v>
      </c>
      <c r="AB100" s="882"/>
      <c r="AP100" s="145"/>
      <c r="AQ100" s="147"/>
      <c r="AR100" s="145"/>
      <c r="AS100" s="145"/>
      <c r="AT100" s="145"/>
      <c r="AU100" s="145"/>
      <c r="AV100" s="145"/>
      <c r="AW100" s="145"/>
      <c r="AX100" s="145"/>
      <c r="AY100" s="145"/>
      <c r="AZ100" s="145"/>
    </row>
    <row r="101" spans="1:52" ht="30" customHeight="1" x14ac:dyDescent="0.2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N101" s="531"/>
      <c r="O101" s="450"/>
      <c r="P101" s="450"/>
      <c r="Q101" s="450"/>
      <c r="R101" s="450"/>
      <c r="S101" s="450"/>
      <c r="T101" s="451"/>
      <c r="U101" s="450"/>
      <c r="V101" s="450"/>
      <c r="W101" s="456"/>
      <c r="X101" s="452"/>
      <c r="Y101" s="450"/>
      <c r="Z101" s="453"/>
      <c r="AA101" s="530"/>
      <c r="AB101" s="673"/>
      <c r="AP101" s="145"/>
      <c r="AQ101" s="147"/>
      <c r="AR101" s="145"/>
      <c r="AS101" s="145"/>
      <c r="AT101" s="145"/>
      <c r="AU101" s="145"/>
      <c r="AV101" s="145"/>
      <c r="AW101" s="145"/>
      <c r="AX101" s="145"/>
      <c r="AY101" s="145"/>
      <c r="AZ101" s="145"/>
    </row>
    <row r="102" spans="1:52" ht="30" customHeight="1" thickBot="1" x14ac:dyDescent="0.3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N102" s="532"/>
      <c r="O102" s="533"/>
      <c r="P102" s="533"/>
      <c r="Q102" s="533"/>
      <c r="R102" s="533"/>
      <c r="S102" s="533"/>
      <c r="T102" s="534"/>
      <c r="U102" s="533"/>
      <c r="V102" s="533"/>
      <c r="W102" s="535"/>
      <c r="X102" s="533"/>
      <c r="Y102" s="533"/>
      <c r="Z102" s="536"/>
      <c r="AA102" s="537"/>
      <c r="AB102" s="674"/>
      <c r="AP102" s="145"/>
      <c r="AQ102" s="147"/>
      <c r="AR102" s="145"/>
      <c r="AS102" s="145"/>
      <c r="AT102" s="145"/>
      <c r="AU102" s="145"/>
      <c r="AV102" s="145"/>
      <c r="AW102" s="145"/>
      <c r="AX102" s="145"/>
      <c r="AY102" s="145"/>
      <c r="AZ102" s="145"/>
    </row>
    <row r="103" spans="1:52" ht="30" customHeight="1" x14ac:dyDescent="0.2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45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4"/>
      <c r="AO103" s="154"/>
      <c r="AP103" s="147"/>
      <c r="AQ103" s="147"/>
      <c r="AR103" s="145"/>
      <c r="AS103" s="145"/>
      <c r="AT103" s="145"/>
      <c r="AU103" s="145"/>
      <c r="AV103" s="145"/>
      <c r="AW103" s="145"/>
      <c r="AX103" s="145"/>
      <c r="AY103" s="145"/>
      <c r="AZ103" s="145"/>
    </row>
    <row r="104" spans="1:52" ht="30" customHeight="1" thickBot="1" x14ac:dyDescent="0.25">
      <c r="A104" s="151"/>
      <c r="B104" s="151"/>
      <c r="C104" s="151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51"/>
      <c r="U104" s="151"/>
      <c r="V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45"/>
      <c r="AW104" s="145"/>
      <c r="AX104" s="145"/>
      <c r="AY104" s="145"/>
      <c r="AZ104" s="145"/>
    </row>
    <row r="105" spans="1:52" ht="30" customHeight="1" x14ac:dyDescent="0.25">
      <c r="A105" s="1063" t="s">
        <v>251</v>
      </c>
      <c r="B105" s="1064"/>
      <c r="C105" s="1064"/>
      <c r="D105" s="1064"/>
      <c r="E105" s="1064"/>
      <c r="F105" s="1064"/>
      <c r="G105" s="1064"/>
      <c r="H105" s="1064"/>
      <c r="I105" s="1064"/>
      <c r="J105" s="1064"/>
      <c r="K105" s="1064"/>
      <c r="L105" s="1064"/>
      <c r="M105" s="1064"/>
      <c r="N105" s="1064"/>
      <c r="O105" s="1064"/>
      <c r="P105" s="1064"/>
      <c r="Q105" s="1064"/>
      <c r="R105" s="1064"/>
      <c r="S105" s="1065"/>
      <c r="T105" s="151"/>
      <c r="V105" s="910" t="s">
        <v>252</v>
      </c>
      <c r="W105" s="911"/>
      <c r="X105" s="911"/>
      <c r="Y105" s="911"/>
      <c r="Z105" s="912"/>
      <c r="AE105" s="151"/>
      <c r="AF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45"/>
      <c r="AW105" s="145"/>
      <c r="AX105" s="145"/>
      <c r="AY105" s="145"/>
      <c r="AZ105" s="145"/>
    </row>
    <row r="106" spans="1:52" ht="30" customHeight="1" thickBot="1" x14ac:dyDescent="0.3">
      <c r="A106" s="1066"/>
      <c r="B106" s="1067"/>
      <c r="C106" s="1067"/>
      <c r="D106" s="1067"/>
      <c r="E106" s="1067"/>
      <c r="F106" s="1067"/>
      <c r="G106" s="1067"/>
      <c r="H106" s="1067"/>
      <c r="I106" s="1067"/>
      <c r="J106" s="1067"/>
      <c r="K106" s="1067"/>
      <c r="L106" s="1067"/>
      <c r="M106" s="1067"/>
      <c r="N106" s="1067"/>
      <c r="O106" s="1067"/>
      <c r="P106" s="1067"/>
      <c r="Q106" s="1067"/>
      <c r="R106" s="1067"/>
      <c r="S106" s="1068"/>
      <c r="T106" s="151"/>
      <c r="V106" s="913"/>
      <c r="W106" s="914"/>
      <c r="X106" s="914"/>
      <c r="Y106" s="914"/>
      <c r="Z106" s="915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45"/>
      <c r="AW106" s="145"/>
      <c r="AX106" s="145"/>
      <c r="AY106" s="145"/>
      <c r="AZ106" s="145"/>
    </row>
    <row r="107" spans="1:52" ht="30" customHeight="1" thickBot="1" x14ac:dyDescent="0.3">
      <c r="A107" s="1051" t="s">
        <v>283</v>
      </c>
      <c r="B107" s="1052"/>
      <c r="C107" s="1052"/>
      <c r="D107" s="1052"/>
      <c r="E107" s="1052"/>
      <c r="F107" s="1052"/>
      <c r="G107" s="1052"/>
      <c r="H107" s="1052"/>
      <c r="I107" s="1052"/>
      <c r="J107" s="1052"/>
      <c r="K107" s="1052"/>
      <c r="L107" s="1052"/>
      <c r="M107" s="1052"/>
      <c r="N107" s="1052"/>
      <c r="O107" s="1052"/>
      <c r="P107" s="1052"/>
      <c r="Q107" s="1052"/>
      <c r="R107" s="1052"/>
      <c r="S107" s="1053"/>
      <c r="T107" s="151"/>
      <c r="V107" s="1045" t="s">
        <v>4</v>
      </c>
      <c r="W107" s="1047" t="s">
        <v>8</v>
      </c>
      <c r="X107" s="1047" t="s">
        <v>14</v>
      </c>
      <c r="Y107" s="1049" t="s">
        <v>272</v>
      </c>
      <c r="Z107" s="1025" t="s">
        <v>215</v>
      </c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45"/>
      <c r="AW107" s="145"/>
      <c r="AX107" s="145"/>
      <c r="AY107" s="145"/>
      <c r="AZ107" s="145"/>
    </row>
    <row r="108" spans="1:52" ht="30" customHeight="1" thickBot="1" x14ac:dyDescent="0.25">
      <c r="A108" s="1054" t="s">
        <v>218</v>
      </c>
      <c r="B108" s="1055"/>
      <c r="C108" s="1027" t="s">
        <v>215</v>
      </c>
      <c r="D108" s="1027" t="s">
        <v>8</v>
      </c>
      <c r="E108" s="1029" t="s">
        <v>145</v>
      </c>
      <c r="F108" s="1029" t="s">
        <v>146</v>
      </c>
      <c r="G108" s="1029" t="s">
        <v>147</v>
      </c>
      <c r="H108" s="1029" t="s">
        <v>148</v>
      </c>
      <c r="I108" s="1029" t="s">
        <v>149</v>
      </c>
      <c r="J108" s="1029" t="s">
        <v>150</v>
      </c>
      <c r="K108" s="1029" t="s">
        <v>10</v>
      </c>
      <c r="L108" s="1041" t="s">
        <v>151</v>
      </c>
      <c r="M108" s="169"/>
      <c r="N108" s="1043" t="s">
        <v>215</v>
      </c>
      <c r="O108" s="1031" t="s">
        <v>149</v>
      </c>
      <c r="P108" s="1032"/>
      <c r="Q108" s="1033"/>
      <c r="R108" s="1037" t="s">
        <v>10</v>
      </c>
      <c r="S108" s="1039" t="s">
        <v>151</v>
      </c>
      <c r="T108" s="151"/>
      <c r="V108" s="1046"/>
      <c r="W108" s="1048"/>
      <c r="X108" s="1048"/>
      <c r="Y108" s="1050"/>
      <c r="Z108" s="1026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45"/>
      <c r="AW108" s="145"/>
      <c r="AX108" s="145"/>
      <c r="AY108" s="145"/>
      <c r="AZ108" s="145"/>
    </row>
    <row r="109" spans="1:52" ht="39.950000000000003" customHeight="1" thickBot="1" x14ac:dyDescent="0.25">
      <c r="A109" s="1056"/>
      <c r="B109" s="1057"/>
      <c r="C109" s="1028"/>
      <c r="D109" s="1028"/>
      <c r="E109" s="1030"/>
      <c r="F109" s="1030"/>
      <c r="G109" s="1030"/>
      <c r="H109" s="1030"/>
      <c r="I109" s="1030"/>
      <c r="J109" s="1030"/>
      <c r="K109" s="1030"/>
      <c r="L109" s="1042"/>
      <c r="M109" s="169"/>
      <c r="N109" s="1044"/>
      <c r="O109" s="1034"/>
      <c r="P109" s="1035"/>
      <c r="Q109" s="1036"/>
      <c r="R109" s="1038"/>
      <c r="S109" s="1040"/>
      <c r="T109" s="151"/>
      <c r="V109" s="170"/>
      <c r="W109" s="171"/>
      <c r="X109" s="171"/>
      <c r="Y109" s="171"/>
      <c r="Z109" s="172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45"/>
      <c r="AW109" s="145"/>
      <c r="AX109" s="145"/>
      <c r="AY109" s="145"/>
      <c r="AZ109" s="145"/>
    </row>
    <row r="110" spans="1:52" ht="30" customHeight="1" thickBot="1" x14ac:dyDescent="0.25">
      <c r="A110" s="173"/>
      <c r="B110" s="174"/>
      <c r="C110" s="175"/>
      <c r="D110" s="176"/>
      <c r="E110" s="176"/>
      <c r="F110" s="176"/>
      <c r="G110" s="176"/>
      <c r="H110" s="176"/>
      <c r="I110" s="169"/>
      <c r="J110" s="169"/>
      <c r="K110" s="169"/>
      <c r="L110" s="169"/>
      <c r="M110" s="169"/>
      <c r="N110" s="173"/>
      <c r="O110" s="177"/>
      <c r="P110" s="177"/>
      <c r="Q110" s="177"/>
      <c r="R110" s="177"/>
      <c r="S110" s="178"/>
      <c r="V110" s="179">
        <v>1</v>
      </c>
      <c r="W110" s="180" t="s">
        <v>63</v>
      </c>
      <c r="X110" s="180">
        <v>31301284</v>
      </c>
      <c r="Y110" s="180">
        <v>1E-3</v>
      </c>
      <c r="Z110" s="181" t="s">
        <v>128</v>
      </c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45"/>
      <c r="AW110" s="145"/>
      <c r="AX110" s="145"/>
      <c r="AY110" s="145"/>
      <c r="AZ110" s="145"/>
    </row>
    <row r="111" spans="1:52" ht="30" customHeight="1" x14ac:dyDescent="0.2">
      <c r="A111" s="902" t="s">
        <v>193</v>
      </c>
      <c r="B111" s="903"/>
      <c r="C111" s="1014" t="s">
        <v>176</v>
      </c>
      <c r="D111" s="1017" t="s">
        <v>152</v>
      </c>
      <c r="E111" s="1020" t="s">
        <v>194</v>
      </c>
      <c r="F111" s="557">
        <v>15.3</v>
      </c>
      <c r="G111" s="558">
        <v>0.1</v>
      </c>
      <c r="H111" s="559">
        <v>0</v>
      </c>
      <c r="I111" s="558">
        <v>0.3</v>
      </c>
      <c r="J111" s="1023">
        <v>2</v>
      </c>
      <c r="K111" s="1024">
        <v>44019</v>
      </c>
      <c r="L111" s="1008" t="s">
        <v>400</v>
      </c>
      <c r="M111" s="169"/>
      <c r="N111" s="574"/>
      <c r="O111" s="568" t="s">
        <v>174</v>
      </c>
      <c r="P111" s="569" t="s">
        <v>284</v>
      </c>
      <c r="Q111" s="569" t="s">
        <v>175</v>
      </c>
      <c r="R111" s="956" t="s">
        <v>403</v>
      </c>
      <c r="S111" s="925" t="s">
        <v>404</v>
      </c>
      <c r="V111" s="179">
        <v>2</v>
      </c>
      <c r="W111" s="180" t="s">
        <v>88</v>
      </c>
      <c r="X111" s="180" t="s">
        <v>66</v>
      </c>
      <c r="Y111" s="180">
        <v>1.0000000000000001E-5</v>
      </c>
      <c r="Z111" s="181" t="s">
        <v>129</v>
      </c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45"/>
      <c r="AW111" s="145"/>
      <c r="AX111" s="145"/>
      <c r="AY111" s="145"/>
      <c r="AZ111" s="145"/>
    </row>
    <row r="112" spans="1:52" ht="30" customHeight="1" x14ac:dyDescent="0.2">
      <c r="A112" s="904"/>
      <c r="B112" s="905"/>
      <c r="C112" s="1015"/>
      <c r="D112" s="1018"/>
      <c r="E112" s="1021"/>
      <c r="F112" s="560">
        <v>24.7</v>
      </c>
      <c r="G112" s="561">
        <v>0.1</v>
      </c>
      <c r="H112" s="562">
        <v>0</v>
      </c>
      <c r="I112" s="561">
        <v>0.2</v>
      </c>
      <c r="J112" s="1011"/>
      <c r="K112" s="1003"/>
      <c r="L112" s="1009"/>
      <c r="M112" s="169"/>
      <c r="N112" s="575" t="s">
        <v>195</v>
      </c>
      <c r="O112" s="570">
        <f>MAX(I111:I113)</f>
        <v>0.3</v>
      </c>
      <c r="P112" s="570">
        <f>MAX(I114:I116)</f>
        <v>1.7</v>
      </c>
      <c r="Q112" s="571">
        <f>MAX(I117:I119)</f>
        <v>9.6000000000000002E-2</v>
      </c>
      <c r="R112" s="957"/>
      <c r="S112" s="926"/>
      <c r="V112" s="179">
        <v>3</v>
      </c>
      <c r="W112" s="180" t="s">
        <v>63</v>
      </c>
      <c r="X112" s="180">
        <v>31301283</v>
      </c>
      <c r="Y112" s="182">
        <v>1E-3</v>
      </c>
      <c r="Z112" s="181" t="s">
        <v>130</v>
      </c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45"/>
      <c r="AW112" s="145"/>
      <c r="AX112" s="145"/>
      <c r="AY112" s="145"/>
      <c r="AZ112" s="145"/>
    </row>
    <row r="113" spans="1:52" ht="30" customHeight="1" thickBot="1" x14ac:dyDescent="0.25">
      <c r="A113" s="906"/>
      <c r="B113" s="907"/>
      <c r="C113" s="1015"/>
      <c r="D113" s="1018"/>
      <c r="E113" s="1021"/>
      <c r="F113" s="563">
        <v>29.5</v>
      </c>
      <c r="G113" s="561">
        <v>0.1</v>
      </c>
      <c r="H113" s="562">
        <v>-0.1</v>
      </c>
      <c r="I113" s="561">
        <v>0.2</v>
      </c>
      <c r="J113" s="1011"/>
      <c r="K113" s="1012"/>
      <c r="L113" s="1010"/>
      <c r="M113" s="169"/>
      <c r="N113" s="576"/>
      <c r="O113" s="572"/>
      <c r="P113" s="573"/>
      <c r="Q113" s="573"/>
      <c r="R113" s="958"/>
      <c r="S113" s="927"/>
      <c r="V113" s="179">
        <v>4</v>
      </c>
      <c r="W113" s="180" t="s">
        <v>63</v>
      </c>
      <c r="X113" s="180">
        <v>34508523</v>
      </c>
      <c r="Y113" s="180">
        <v>0.01</v>
      </c>
      <c r="Z113" s="181" t="s">
        <v>166</v>
      </c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45"/>
      <c r="AW113" s="145"/>
      <c r="AX113" s="145"/>
      <c r="AY113" s="145"/>
      <c r="AZ113" s="145"/>
    </row>
    <row r="114" spans="1:52" ht="30" customHeight="1" x14ac:dyDescent="0.2">
      <c r="A114" s="902" t="s">
        <v>196</v>
      </c>
      <c r="B114" s="903"/>
      <c r="C114" s="1015"/>
      <c r="D114" s="1018"/>
      <c r="E114" s="1021"/>
      <c r="F114" s="560">
        <v>33.299999999999997</v>
      </c>
      <c r="G114" s="561">
        <v>0.1</v>
      </c>
      <c r="H114" s="561">
        <v>-3.3</v>
      </c>
      <c r="I114" s="561">
        <v>1.7</v>
      </c>
      <c r="J114" s="1011">
        <v>2</v>
      </c>
      <c r="K114" s="1002">
        <v>44020</v>
      </c>
      <c r="L114" s="1013" t="s">
        <v>401</v>
      </c>
      <c r="M114" s="169"/>
      <c r="N114" s="173"/>
      <c r="O114" s="169"/>
      <c r="P114" s="169"/>
      <c r="Q114" s="169"/>
      <c r="R114" s="169"/>
      <c r="S114" s="183"/>
      <c r="V114" s="179">
        <v>5</v>
      </c>
      <c r="W114" s="180" t="s">
        <v>63</v>
      </c>
      <c r="X114" s="180">
        <v>29605076</v>
      </c>
      <c r="Y114" s="184">
        <v>0.1</v>
      </c>
      <c r="Z114" s="181" t="s">
        <v>131</v>
      </c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45"/>
      <c r="AW114" s="145"/>
      <c r="AX114" s="145"/>
      <c r="AY114" s="145"/>
      <c r="AZ114" s="145"/>
    </row>
    <row r="115" spans="1:52" ht="30" customHeight="1" thickBot="1" x14ac:dyDescent="0.25">
      <c r="A115" s="904"/>
      <c r="B115" s="905"/>
      <c r="C115" s="1015"/>
      <c r="D115" s="1018"/>
      <c r="E115" s="1021"/>
      <c r="F115" s="563">
        <v>51.2</v>
      </c>
      <c r="G115" s="561">
        <v>0.1</v>
      </c>
      <c r="H115" s="562">
        <v>-1.3</v>
      </c>
      <c r="I115" s="561">
        <v>1.7</v>
      </c>
      <c r="J115" s="1011"/>
      <c r="K115" s="1003"/>
      <c r="L115" s="1009"/>
      <c r="M115" s="169"/>
      <c r="N115" s="173"/>
      <c r="O115" s="169"/>
      <c r="P115" s="169"/>
      <c r="Q115" s="169"/>
      <c r="R115" s="169"/>
      <c r="S115" s="183"/>
      <c r="V115" s="185">
        <v>6</v>
      </c>
      <c r="W115" s="186" t="s">
        <v>63</v>
      </c>
      <c r="X115" s="186">
        <v>29605077</v>
      </c>
      <c r="Y115" s="186">
        <v>0.1</v>
      </c>
      <c r="Z115" s="187" t="s">
        <v>132</v>
      </c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45"/>
      <c r="AW115" s="145"/>
      <c r="AX115" s="145"/>
      <c r="AY115" s="145"/>
      <c r="AZ115" s="145"/>
    </row>
    <row r="116" spans="1:52" ht="30" customHeight="1" thickBot="1" x14ac:dyDescent="0.25">
      <c r="A116" s="906"/>
      <c r="B116" s="907"/>
      <c r="C116" s="1015"/>
      <c r="D116" s="1018"/>
      <c r="E116" s="1021"/>
      <c r="F116" s="560">
        <v>77.099999999999994</v>
      </c>
      <c r="G116" s="561">
        <v>0.1</v>
      </c>
      <c r="H116" s="561">
        <v>3</v>
      </c>
      <c r="I116" s="561">
        <v>1.7</v>
      </c>
      <c r="J116" s="1011"/>
      <c r="K116" s="1012"/>
      <c r="L116" s="1010"/>
      <c r="M116" s="169"/>
      <c r="N116" s="173"/>
      <c r="O116" s="169"/>
      <c r="P116" s="169"/>
      <c r="Q116" s="169"/>
      <c r="R116" s="169"/>
      <c r="S116" s="183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45"/>
      <c r="AW116" s="145"/>
      <c r="AX116" s="145"/>
      <c r="AY116" s="145"/>
      <c r="AZ116" s="145"/>
    </row>
    <row r="117" spans="1:52" ht="30" customHeight="1" thickBot="1" x14ac:dyDescent="0.25">
      <c r="A117" s="902" t="s">
        <v>253</v>
      </c>
      <c r="B117" s="903"/>
      <c r="C117" s="1015"/>
      <c r="D117" s="1018"/>
      <c r="E117" s="1021"/>
      <c r="F117" s="560">
        <v>598.03200000000004</v>
      </c>
      <c r="G117" s="561">
        <v>0.1</v>
      </c>
      <c r="H117" s="564">
        <v>1.534</v>
      </c>
      <c r="I117" s="561">
        <v>0.08</v>
      </c>
      <c r="J117" s="928">
        <v>2</v>
      </c>
      <c r="K117" s="1002">
        <v>43980</v>
      </c>
      <c r="L117" s="1005" t="s">
        <v>402</v>
      </c>
      <c r="M117" s="169"/>
      <c r="N117" s="173"/>
      <c r="O117" s="169"/>
      <c r="P117" s="169"/>
      <c r="Q117" s="169"/>
      <c r="R117" s="169"/>
      <c r="S117" s="183"/>
      <c r="AM117" s="151"/>
      <c r="AN117" s="151"/>
      <c r="AY117" s="145"/>
      <c r="AZ117" s="145"/>
    </row>
    <row r="118" spans="1:52" ht="30" customHeight="1" x14ac:dyDescent="0.2">
      <c r="A118" s="904"/>
      <c r="B118" s="905"/>
      <c r="C118" s="1015"/>
      <c r="D118" s="1018"/>
      <c r="E118" s="1021"/>
      <c r="F118" s="560">
        <v>752.71299999999997</v>
      </c>
      <c r="G118" s="561">
        <v>0.1</v>
      </c>
      <c r="H118" s="564">
        <v>1.0549999999999999</v>
      </c>
      <c r="I118" s="561">
        <v>8.4000000000000005E-2</v>
      </c>
      <c r="J118" s="929"/>
      <c r="K118" s="1003"/>
      <c r="L118" s="1006"/>
      <c r="M118" s="169"/>
      <c r="N118" s="173"/>
      <c r="O118" s="169"/>
      <c r="P118" s="169"/>
      <c r="Q118" s="169"/>
      <c r="R118" s="169"/>
      <c r="S118" s="183"/>
      <c r="V118" s="910" t="s">
        <v>305</v>
      </c>
      <c r="W118" s="911"/>
      <c r="X118" s="912"/>
      <c r="AM118" s="151"/>
      <c r="AN118" s="151"/>
      <c r="AY118" s="145"/>
      <c r="AZ118" s="145"/>
    </row>
    <row r="119" spans="1:52" ht="30" customHeight="1" thickBot="1" x14ac:dyDescent="0.25">
      <c r="A119" s="906"/>
      <c r="B119" s="907"/>
      <c r="C119" s="1016"/>
      <c r="D119" s="1019"/>
      <c r="E119" s="1022"/>
      <c r="F119" s="565">
        <v>848.5</v>
      </c>
      <c r="G119" s="566">
        <v>0.1</v>
      </c>
      <c r="H119" s="567">
        <v>0.77800000000000002</v>
      </c>
      <c r="I119" s="566">
        <v>9.6000000000000002E-2</v>
      </c>
      <c r="J119" s="930"/>
      <c r="K119" s="1004"/>
      <c r="L119" s="1007"/>
      <c r="M119" s="169"/>
      <c r="N119" s="173"/>
      <c r="O119" s="169"/>
      <c r="P119" s="169"/>
      <c r="Q119" s="169"/>
      <c r="R119" s="169"/>
      <c r="S119" s="183"/>
      <c r="V119" s="913"/>
      <c r="W119" s="914"/>
      <c r="X119" s="915"/>
      <c r="AM119" s="151"/>
      <c r="AN119" s="151"/>
      <c r="AY119" s="145"/>
      <c r="AZ119" s="145"/>
    </row>
    <row r="120" spans="1:52" ht="30" customHeight="1" thickBot="1" x14ac:dyDescent="0.25">
      <c r="A120" s="173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73"/>
      <c r="O120" s="169"/>
      <c r="P120" s="169"/>
      <c r="Q120" s="169"/>
      <c r="R120" s="169"/>
      <c r="S120" s="183"/>
      <c r="V120" s="940" t="s">
        <v>304</v>
      </c>
      <c r="W120" s="941"/>
      <c r="X120" s="942"/>
      <c r="AM120" s="151"/>
      <c r="AN120" s="151"/>
      <c r="AY120" s="145"/>
      <c r="AZ120" s="145"/>
    </row>
    <row r="121" spans="1:52" ht="30" customHeight="1" x14ac:dyDescent="0.2">
      <c r="A121" s="984" t="s">
        <v>193</v>
      </c>
      <c r="B121" s="985"/>
      <c r="C121" s="943" t="s">
        <v>197</v>
      </c>
      <c r="D121" s="990" t="s">
        <v>152</v>
      </c>
      <c r="E121" s="949">
        <v>19506160802033</v>
      </c>
      <c r="F121" s="577">
        <v>15.3</v>
      </c>
      <c r="G121" s="524">
        <v>0.1</v>
      </c>
      <c r="H121" s="524">
        <v>-0.1</v>
      </c>
      <c r="I121" s="578">
        <v>0.3</v>
      </c>
      <c r="J121" s="991">
        <v>2</v>
      </c>
      <c r="K121" s="956">
        <v>44000</v>
      </c>
      <c r="L121" s="925" t="s">
        <v>405</v>
      </c>
      <c r="M121" s="169"/>
      <c r="N121" s="594"/>
      <c r="O121" s="595" t="s">
        <v>174</v>
      </c>
      <c r="P121" s="596" t="s">
        <v>284</v>
      </c>
      <c r="Q121" s="596" t="s">
        <v>175</v>
      </c>
      <c r="R121" s="956" t="s">
        <v>408</v>
      </c>
      <c r="S121" s="925" t="s">
        <v>409</v>
      </c>
      <c r="V121" s="188"/>
      <c r="W121" s="189"/>
      <c r="X121" s="190"/>
      <c r="AM121" s="151"/>
      <c r="AN121" s="151"/>
      <c r="AY121" s="145"/>
      <c r="AZ121" s="145"/>
    </row>
    <row r="122" spans="1:52" ht="30" customHeight="1" x14ac:dyDescent="0.2">
      <c r="A122" s="986"/>
      <c r="B122" s="987"/>
      <c r="C122" s="944"/>
      <c r="D122" s="950"/>
      <c r="E122" s="950"/>
      <c r="F122" s="529">
        <v>24.5</v>
      </c>
      <c r="G122" s="450">
        <v>0.1</v>
      </c>
      <c r="H122" s="450">
        <v>0.3</v>
      </c>
      <c r="I122" s="579">
        <v>0.3</v>
      </c>
      <c r="J122" s="917"/>
      <c r="K122" s="920"/>
      <c r="L122" s="923"/>
      <c r="M122" s="169"/>
      <c r="N122" s="597" t="s">
        <v>198</v>
      </c>
      <c r="O122" s="570">
        <f>MAX(I121:I123)</f>
        <v>0.3</v>
      </c>
      <c r="P122" s="598">
        <f>MAX(I124:I126)</f>
        <v>1.7</v>
      </c>
      <c r="Q122" s="599">
        <f>MAX(I127:I129)</f>
        <v>0.15</v>
      </c>
      <c r="R122" s="957"/>
      <c r="S122" s="926"/>
      <c r="V122" s="179" t="s">
        <v>170</v>
      </c>
      <c r="W122" s="191" t="s">
        <v>209</v>
      </c>
      <c r="X122" s="192" t="s">
        <v>265</v>
      </c>
      <c r="AM122" s="151"/>
      <c r="AN122" s="151"/>
      <c r="AY122" s="145"/>
      <c r="AZ122" s="145"/>
    </row>
    <row r="123" spans="1:52" ht="30" customHeight="1" thickBot="1" x14ac:dyDescent="0.25">
      <c r="A123" s="988"/>
      <c r="B123" s="989"/>
      <c r="C123" s="944"/>
      <c r="D123" s="950"/>
      <c r="E123" s="950"/>
      <c r="F123" s="532">
        <v>29.5</v>
      </c>
      <c r="G123" s="533">
        <v>0.1</v>
      </c>
      <c r="H123" s="533">
        <v>0.2</v>
      </c>
      <c r="I123" s="580">
        <v>0.3</v>
      </c>
      <c r="J123" s="918"/>
      <c r="K123" s="921"/>
      <c r="L123" s="924"/>
      <c r="M123" s="169"/>
      <c r="N123" s="600"/>
      <c r="O123" s="572"/>
      <c r="P123" s="573"/>
      <c r="Q123" s="573"/>
      <c r="R123" s="958"/>
      <c r="S123" s="927"/>
      <c r="V123" s="193">
        <v>1</v>
      </c>
      <c r="W123" s="322">
        <v>0.03</v>
      </c>
      <c r="X123" s="323">
        <v>0.1</v>
      </c>
      <c r="AM123" s="151"/>
      <c r="AN123" s="151"/>
      <c r="AY123" s="145"/>
      <c r="AZ123" s="145"/>
    </row>
    <row r="124" spans="1:52" ht="30" customHeight="1" x14ac:dyDescent="0.2">
      <c r="A124" s="902" t="s">
        <v>196</v>
      </c>
      <c r="B124" s="903"/>
      <c r="C124" s="944"/>
      <c r="D124" s="950"/>
      <c r="E124" s="950"/>
      <c r="F124" s="523">
        <v>32.4</v>
      </c>
      <c r="G124" s="581">
        <v>0.1</v>
      </c>
      <c r="H124" s="581">
        <v>-2.4</v>
      </c>
      <c r="I124" s="582">
        <v>1.7</v>
      </c>
      <c r="J124" s="916">
        <v>2</v>
      </c>
      <c r="K124" s="919">
        <v>44001</v>
      </c>
      <c r="L124" s="922" t="s">
        <v>406</v>
      </c>
      <c r="M124" s="169"/>
      <c r="N124" s="194"/>
      <c r="O124" s="169"/>
      <c r="P124" s="169"/>
      <c r="Q124" s="169"/>
      <c r="R124" s="169"/>
      <c r="S124" s="195"/>
      <c r="V124" s="193">
        <v>2</v>
      </c>
      <c r="W124" s="322">
        <v>0.04</v>
      </c>
      <c r="X124" s="323">
        <v>0.12</v>
      </c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45"/>
      <c r="AW124" s="145"/>
      <c r="AX124" s="145"/>
      <c r="AY124" s="145"/>
      <c r="AZ124" s="145"/>
    </row>
    <row r="125" spans="1:52" ht="30" customHeight="1" x14ac:dyDescent="0.2">
      <c r="A125" s="904"/>
      <c r="B125" s="905"/>
      <c r="C125" s="944"/>
      <c r="D125" s="950"/>
      <c r="E125" s="950"/>
      <c r="F125" s="529">
        <v>50.2</v>
      </c>
      <c r="G125" s="583">
        <v>0.1</v>
      </c>
      <c r="H125" s="583">
        <v>-0.2</v>
      </c>
      <c r="I125" s="579">
        <v>1.7</v>
      </c>
      <c r="J125" s="917"/>
      <c r="K125" s="920"/>
      <c r="L125" s="923"/>
      <c r="M125" s="169"/>
      <c r="N125" s="173"/>
      <c r="O125" s="169"/>
      <c r="P125" s="169"/>
      <c r="Q125" s="169"/>
      <c r="R125" s="169"/>
      <c r="S125" s="195"/>
      <c r="V125" s="193">
        <v>2</v>
      </c>
      <c r="W125" s="322">
        <v>0.04</v>
      </c>
      <c r="X125" s="323">
        <v>0.12</v>
      </c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45"/>
      <c r="AW125" s="145"/>
      <c r="AX125" s="145"/>
      <c r="AY125" s="145"/>
      <c r="AZ125" s="145"/>
    </row>
    <row r="126" spans="1:52" ht="30" customHeight="1" thickBot="1" x14ac:dyDescent="0.25">
      <c r="A126" s="906"/>
      <c r="B126" s="907"/>
      <c r="C126" s="944"/>
      <c r="D126" s="950"/>
      <c r="E126" s="950"/>
      <c r="F126" s="532">
        <v>76.099999999999994</v>
      </c>
      <c r="G126" s="584">
        <v>0.1</v>
      </c>
      <c r="H126" s="584">
        <v>3.9</v>
      </c>
      <c r="I126" s="580">
        <v>1.7</v>
      </c>
      <c r="J126" s="918"/>
      <c r="K126" s="921"/>
      <c r="L126" s="924"/>
      <c r="M126" s="169"/>
      <c r="N126" s="173"/>
      <c r="O126" s="169"/>
      <c r="P126" s="169"/>
      <c r="Q126" s="169"/>
      <c r="R126" s="169"/>
      <c r="S126" s="195"/>
      <c r="V126" s="193">
        <v>5</v>
      </c>
      <c r="W126" s="322">
        <v>0.05</v>
      </c>
      <c r="X126" s="323">
        <v>0.16</v>
      </c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45"/>
      <c r="AW126" s="145"/>
      <c r="AX126" s="145"/>
      <c r="AY126" s="145"/>
      <c r="AZ126" s="145"/>
    </row>
    <row r="127" spans="1:52" ht="30" customHeight="1" x14ac:dyDescent="0.2">
      <c r="A127" s="902" t="s">
        <v>253</v>
      </c>
      <c r="B127" s="903"/>
      <c r="C127" s="944"/>
      <c r="D127" s="950"/>
      <c r="E127" s="950"/>
      <c r="F127" s="585">
        <v>397.70400000000001</v>
      </c>
      <c r="G127" s="586">
        <v>0.1</v>
      </c>
      <c r="H127" s="587">
        <v>2.25</v>
      </c>
      <c r="I127" s="588">
        <v>0.12</v>
      </c>
      <c r="J127" s="916">
        <v>2</v>
      </c>
      <c r="K127" s="919">
        <v>43980</v>
      </c>
      <c r="L127" s="922" t="s">
        <v>407</v>
      </c>
      <c r="M127" s="169"/>
      <c r="N127" s="173"/>
      <c r="O127" s="169"/>
      <c r="P127" s="169"/>
      <c r="Q127" s="169"/>
      <c r="R127" s="169"/>
      <c r="S127" s="195"/>
      <c r="V127" s="193">
        <v>10</v>
      </c>
      <c r="W127" s="322">
        <v>0.06</v>
      </c>
      <c r="X127" s="323">
        <v>0.2</v>
      </c>
      <c r="AB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45"/>
      <c r="AW127" s="145"/>
      <c r="AX127" s="145"/>
      <c r="AY127" s="145"/>
      <c r="AZ127" s="145"/>
    </row>
    <row r="128" spans="1:52" ht="30" customHeight="1" x14ac:dyDescent="0.2">
      <c r="A128" s="904"/>
      <c r="B128" s="905"/>
      <c r="C128" s="944"/>
      <c r="D128" s="950"/>
      <c r="E128" s="950"/>
      <c r="F128" s="529">
        <v>752.71299999999997</v>
      </c>
      <c r="G128" s="583">
        <v>0.1</v>
      </c>
      <c r="H128" s="589">
        <v>1.0549999999999999</v>
      </c>
      <c r="I128" s="590">
        <v>8.4000000000000005E-2</v>
      </c>
      <c r="J128" s="917"/>
      <c r="K128" s="920"/>
      <c r="L128" s="923"/>
      <c r="M128" s="169"/>
      <c r="N128" s="173"/>
      <c r="O128" s="169"/>
      <c r="P128" s="169"/>
      <c r="Q128" s="169"/>
      <c r="R128" s="169"/>
      <c r="S128" s="195"/>
      <c r="V128" s="193">
        <v>20</v>
      </c>
      <c r="W128" s="322">
        <v>0.08</v>
      </c>
      <c r="X128" s="323">
        <v>0.25</v>
      </c>
      <c r="AB128" s="151"/>
      <c r="AM128" s="151"/>
      <c r="AN128" s="151"/>
      <c r="AO128" s="151"/>
      <c r="AV128" s="145"/>
      <c r="AW128" s="145"/>
      <c r="AX128" s="145"/>
      <c r="AY128" s="145"/>
      <c r="AZ128" s="145"/>
    </row>
    <row r="129" spans="1:52" ht="30" customHeight="1" thickBot="1" x14ac:dyDescent="0.25">
      <c r="A129" s="906"/>
      <c r="B129" s="907"/>
      <c r="C129" s="945"/>
      <c r="D129" s="951"/>
      <c r="E129" s="951"/>
      <c r="F129" s="591">
        <v>1098.79</v>
      </c>
      <c r="G129" s="584">
        <v>0.1</v>
      </c>
      <c r="H129" s="592">
        <v>0.84</v>
      </c>
      <c r="I129" s="593">
        <v>0.15</v>
      </c>
      <c r="J129" s="953"/>
      <c r="K129" s="954"/>
      <c r="L129" s="955"/>
      <c r="M129" s="169"/>
      <c r="N129" s="173"/>
      <c r="O129" s="169"/>
      <c r="P129" s="169"/>
      <c r="Q129" s="169"/>
      <c r="R129" s="169"/>
      <c r="S129" s="195"/>
      <c r="V129" s="193">
        <v>20</v>
      </c>
      <c r="W129" s="322">
        <v>0.08</v>
      </c>
      <c r="X129" s="323">
        <v>0.25</v>
      </c>
      <c r="AB129" s="151"/>
      <c r="AM129" s="151"/>
      <c r="AN129" s="151"/>
      <c r="AO129" s="151"/>
      <c r="AV129" s="145"/>
      <c r="AW129" s="145"/>
      <c r="AX129" s="145"/>
      <c r="AY129" s="145"/>
      <c r="AZ129" s="145"/>
    </row>
    <row r="130" spans="1:52" ht="30" customHeight="1" thickBot="1" x14ac:dyDescent="0.25">
      <c r="A130" s="196"/>
      <c r="B130" s="197"/>
      <c r="C130" s="198"/>
      <c r="D130" s="199"/>
      <c r="E130" s="200"/>
      <c r="F130" s="198"/>
      <c r="G130" s="198"/>
      <c r="H130" s="198"/>
      <c r="I130" s="198"/>
      <c r="J130" s="198"/>
      <c r="K130" s="201"/>
      <c r="L130" s="202"/>
      <c r="M130" s="169"/>
      <c r="N130" s="173"/>
      <c r="O130" s="169"/>
      <c r="P130" s="169"/>
      <c r="Q130" s="169"/>
      <c r="R130" s="169"/>
      <c r="S130" s="195"/>
      <c r="V130" s="193">
        <v>50</v>
      </c>
      <c r="W130" s="322">
        <v>0.1</v>
      </c>
      <c r="X130" s="325">
        <v>0.3</v>
      </c>
      <c r="AB130" s="151"/>
      <c r="AM130" s="151"/>
      <c r="AN130" s="151"/>
      <c r="AO130" s="151"/>
      <c r="AV130" s="145"/>
      <c r="AW130" s="145"/>
      <c r="AX130" s="145"/>
      <c r="AY130" s="145"/>
      <c r="AZ130" s="145"/>
    </row>
    <row r="131" spans="1:52" ht="30" customHeight="1" x14ac:dyDescent="0.2">
      <c r="A131" s="902" t="s">
        <v>193</v>
      </c>
      <c r="B131" s="903"/>
      <c r="C131" s="943" t="s">
        <v>199</v>
      </c>
      <c r="D131" s="946" t="s">
        <v>152</v>
      </c>
      <c r="E131" s="949">
        <v>19406160802033</v>
      </c>
      <c r="F131" s="601">
        <v>15.3</v>
      </c>
      <c r="G131" s="602">
        <v>0.1</v>
      </c>
      <c r="H131" s="603">
        <v>-0.1</v>
      </c>
      <c r="I131" s="604">
        <v>0.3</v>
      </c>
      <c r="J131" s="993">
        <v>2</v>
      </c>
      <c r="K131" s="994">
        <v>43732</v>
      </c>
      <c r="L131" s="995" t="s">
        <v>262</v>
      </c>
      <c r="M131" s="169"/>
      <c r="N131" s="594"/>
      <c r="O131" s="619" t="s">
        <v>174</v>
      </c>
      <c r="P131" s="203" t="s">
        <v>284</v>
      </c>
      <c r="Q131" s="203" t="s">
        <v>175</v>
      </c>
      <c r="R131" s="999" t="s">
        <v>411</v>
      </c>
      <c r="S131" s="996" t="s">
        <v>412</v>
      </c>
      <c r="U131" s="146" t="s">
        <v>264</v>
      </c>
      <c r="V131" s="193">
        <v>100</v>
      </c>
      <c r="W131" s="322">
        <v>0.16</v>
      </c>
      <c r="X131" s="325">
        <v>0.5</v>
      </c>
      <c r="AB131" s="151"/>
      <c r="AC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45"/>
      <c r="AW131" s="145"/>
      <c r="AX131" s="145"/>
      <c r="AY131" s="145"/>
      <c r="AZ131" s="145"/>
    </row>
    <row r="132" spans="1:52" ht="30" customHeight="1" x14ac:dyDescent="0.2">
      <c r="A132" s="904"/>
      <c r="B132" s="905"/>
      <c r="C132" s="944"/>
      <c r="D132" s="947"/>
      <c r="E132" s="950"/>
      <c r="F132" s="605">
        <v>24.8</v>
      </c>
      <c r="G132" s="606">
        <v>0.1</v>
      </c>
      <c r="H132" s="607">
        <v>0</v>
      </c>
      <c r="I132" s="608">
        <v>0.3</v>
      </c>
      <c r="J132" s="960"/>
      <c r="K132" s="962"/>
      <c r="L132" s="964"/>
      <c r="M132" s="169"/>
      <c r="N132" s="597" t="s">
        <v>200</v>
      </c>
      <c r="O132" s="620">
        <f>MAX(I131:I133)</f>
        <v>0.3</v>
      </c>
      <c r="P132" s="204">
        <f>MAX(I134:I136)</f>
        <v>1.7</v>
      </c>
      <c r="Q132" s="204">
        <f>MAX(I137:I139)</f>
        <v>0.14000000000000001</v>
      </c>
      <c r="R132" s="1000"/>
      <c r="S132" s="997"/>
      <c r="V132" s="193">
        <v>200</v>
      </c>
      <c r="W132" s="324">
        <v>0.3</v>
      </c>
      <c r="X132" s="325">
        <v>1</v>
      </c>
      <c r="AB132" s="151"/>
      <c r="AC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45"/>
      <c r="AW132" s="145"/>
      <c r="AX132" s="145"/>
      <c r="AY132" s="145"/>
      <c r="AZ132" s="145"/>
    </row>
    <row r="133" spans="1:52" ht="30" customHeight="1" thickBot="1" x14ac:dyDescent="0.25">
      <c r="A133" s="906"/>
      <c r="B133" s="907"/>
      <c r="C133" s="944"/>
      <c r="D133" s="947"/>
      <c r="E133" s="950"/>
      <c r="F133" s="609">
        <v>29.6</v>
      </c>
      <c r="G133" s="610">
        <v>0.1</v>
      </c>
      <c r="H133" s="611">
        <v>0.1</v>
      </c>
      <c r="I133" s="612">
        <v>0.3</v>
      </c>
      <c r="J133" s="960"/>
      <c r="K133" s="962"/>
      <c r="L133" s="964"/>
      <c r="M133" s="169"/>
      <c r="N133" s="621"/>
      <c r="O133" s="205"/>
      <c r="P133" s="206"/>
      <c r="Q133" s="206"/>
      <c r="R133" s="1001"/>
      <c r="S133" s="998"/>
      <c r="V133" s="193">
        <v>200</v>
      </c>
      <c r="W133" s="324">
        <v>0.3</v>
      </c>
      <c r="X133" s="325">
        <v>1</v>
      </c>
      <c r="AB133" s="151"/>
      <c r="AC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45"/>
      <c r="AW133" s="145"/>
      <c r="AX133" s="145"/>
      <c r="AY133" s="145"/>
      <c r="AZ133" s="145"/>
    </row>
    <row r="134" spans="1:52" ht="30" customHeight="1" x14ac:dyDescent="0.2">
      <c r="A134" s="902" t="s">
        <v>196</v>
      </c>
      <c r="B134" s="903"/>
      <c r="C134" s="944"/>
      <c r="D134" s="947"/>
      <c r="E134" s="950"/>
      <c r="F134" s="613">
        <v>32.299999999999997</v>
      </c>
      <c r="G134" s="602">
        <v>0.1</v>
      </c>
      <c r="H134" s="602">
        <v>-2.2999999999999998</v>
      </c>
      <c r="I134" s="604">
        <v>1.7</v>
      </c>
      <c r="J134" s="959">
        <v>2</v>
      </c>
      <c r="K134" s="961">
        <v>43733</v>
      </c>
      <c r="L134" s="963" t="s">
        <v>263</v>
      </c>
      <c r="M134" s="169"/>
      <c r="N134" s="173"/>
      <c r="O134" s="169"/>
      <c r="P134" s="169"/>
      <c r="Q134" s="169"/>
      <c r="R134" s="169"/>
      <c r="S134" s="195"/>
      <c r="V134" s="193">
        <v>500</v>
      </c>
      <c r="W134" s="324">
        <v>0.8</v>
      </c>
      <c r="X134" s="325">
        <v>2.5</v>
      </c>
      <c r="AB134" s="151"/>
      <c r="AC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45"/>
      <c r="AW134" s="145"/>
      <c r="AX134" s="145"/>
      <c r="AY134" s="145"/>
      <c r="AZ134" s="145"/>
    </row>
    <row r="135" spans="1:52" ht="30" customHeight="1" x14ac:dyDescent="0.2">
      <c r="A135" s="904"/>
      <c r="B135" s="905"/>
      <c r="C135" s="944"/>
      <c r="D135" s="947"/>
      <c r="E135" s="950"/>
      <c r="F135" s="605">
        <v>50.6</v>
      </c>
      <c r="G135" s="606">
        <v>0.1</v>
      </c>
      <c r="H135" s="606">
        <v>-0.6</v>
      </c>
      <c r="I135" s="608">
        <v>1.7</v>
      </c>
      <c r="J135" s="960">
        <v>2</v>
      </c>
      <c r="K135" s="962"/>
      <c r="L135" s="964"/>
      <c r="M135" s="169"/>
      <c r="N135" s="173"/>
      <c r="O135" s="169"/>
      <c r="P135" s="169"/>
      <c r="Q135" s="169"/>
      <c r="R135" s="169"/>
      <c r="S135" s="195"/>
      <c r="V135" s="207" t="s">
        <v>138</v>
      </c>
      <c r="W135" s="324">
        <v>1.6</v>
      </c>
      <c r="X135" s="325">
        <v>5</v>
      </c>
      <c r="AA135" s="151"/>
      <c r="AB135" s="151"/>
      <c r="AC135" s="151"/>
      <c r="AG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45"/>
      <c r="AW135" s="145"/>
      <c r="AX135" s="145"/>
      <c r="AY135" s="145"/>
      <c r="AZ135" s="145"/>
    </row>
    <row r="136" spans="1:52" ht="30" customHeight="1" thickBot="1" x14ac:dyDescent="0.25">
      <c r="A136" s="906"/>
      <c r="B136" s="907"/>
      <c r="C136" s="944"/>
      <c r="D136" s="947"/>
      <c r="E136" s="950"/>
      <c r="F136" s="609">
        <v>68.599999999999994</v>
      </c>
      <c r="G136" s="611">
        <v>0.1</v>
      </c>
      <c r="H136" s="611">
        <v>1.4</v>
      </c>
      <c r="I136" s="612">
        <v>1.7</v>
      </c>
      <c r="J136" s="960"/>
      <c r="K136" s="962"/>
      <c r="L136" s="964"/>
      <c r="M136" s="169"/>
      <c r="N136" s="173"/>
      <c r="O136" s="169"/>
      <c r="P136" s="169"/>
      <c r="Q136" s="169"/>
      <c r="R136" s="169"/>
      <c r="S136" s="195"/>
      <c r="V136" s="207" t="s">
        <v>139</v>
      </c>
      <c r="W136" s="327">
        <v>3</v>
      </c>
      <c r="X136" s="326">
        <v>10</v>
      </c>
      <c r="Z136" s="151"/>
      <c r="AA136" s="151"/>
      <c r="AB136" s="151"/>
      <c r="AC136" s="151"/>
      <c r="AG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45"/>
      <c r="AW136" s="145"/>
      <c r="AX136" s="145"/>
      <c r="AY136" s="145"/>
      <c r="AZ136" s="145"/>
    </row>
    <row r="137" spans="1:52" ht="30" customHeight="1" x14ac:dyDescent="0.2">
      <c r="A137" s="902" t="s">
        <v>253</v>
      </c>
      <c r="B137" s="903"/>
      <c r="C137" s="944"/>
      <c r="D137" s="947"/>
      <c r="E137" s="950"/>
      <c r="F137" s="614">
        <v>397.74599999999998</v>
      </c>
      <c r="G137" s="510">
        <v>0.1</v>
      </c>
      <c r="H137" s="511">
        <v>2.33</v>
      </c>
      <c r="I137" s="615">
        <v>0.12</v>
      </c>
      <c r="J137" s="931">
        <v>2</v>
      </c>
      <c r="K137" s="934">
        <v>44106</v>
      </c>
      <c r="L137" s="937" t="s">
        <v>410</v>
      </c>
      <c r="M137" s="169"/>
      <c r="N137" s="173"/>
      <c r="O137" s="169"/>
      <c r="P137" s="169"/>
      <c r="Q137" s="169"/>
      <c r="R137" s="169"/>
      <c r="S137" s="195"/>
      <c r="V137" s="207" t="s">
        <v>139</v>
      </c>
      <c r="W137" s="327">
        <v>3</v>
      </c>
      <c r="X137" s="326">
        <v>10</v>
      </c>
      <c r="Z137" s="151"/>
      <c r="AA137" s="151"/>
      <c r="AB137" s="151"/>
      <c r="AG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45"/>
      <c r="AW137" s="145"/>
      <c r="AX137" s="145"/>
      <c r="AY137" s="145"/>
      <c r="AZ137" s="145"/>
    </row>
    <row r="138" spans="1:52" ht="30" customHeight="1" x14ac:dyDescent="0.2">
      <c r="A138" s="904"/>
      <c r="B138" s="905"/>
      <c r="C138" s="944"/>
      <c r="D138" s="947"/>
      <c r="E138" s="950"/>
      <c r="F138" s="520">
        <v>752.61900000000003</v>
      </c>
      <c r="G138" s="481">
        <v>0.1</v>
      </c>
      <c r="H138" s="616">
        <v>0.99099999999999999</v>
      </c>
      <c r="I138" s="617">
        <v>8.4000000000000005E-2</v>
      </c>
      <c r="J138" s="932">
        <v>2</v>
      </c>
      <c r="K138" s="935">
        <v>42671</v>
      </c>
      <c r="L138" s="938" t="s">
        <v>201</v>
      </c>
      <c r="M138" s="169"/>
      <c r="N138" s="173"/>
      <c r="O138" s="169"/>
      <c r="P138" s="169"/>
      <c r="Q138" s="169"/>
      <c r="R138" s="169"/>
      <c r="S138" s="195"/>
      <c r="V138" s="207" t="s">
        <v>140</v>
      </c>
      <c r="W138" s="324">
        <v>8</v>
      </c>
      <c r="X138" s="326">
        <v>25</v>
      </c>
      <c r="Z138" s="151"/>
      <c r="AA138" s="151"/>
      <c r="AB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45"/>
      <c r="AW138" s="145"/>
      <c r="AX138" s="145"/>
      <c r="AY138" s="145"/>
      <c r="AZ138" s="145"/>
    </row>
    <row r="139" spans="1:52" ht="30" customHeight="1" thickBot="1" x14ac:dyDescent="0.25">
      <c r="A139" s="906"/>
      <c r="B139" s="907"/>
      <c r="C139" s="945"/>
      <c r="D139" s="948"/>
      <c r="E139" s="951"/>
      <c r="F139" s="521">
        <v>1098.8340000000001</v>
      </c>
      <c r="G139" s="493">
        <v>0.1</v>
      </c>
      <c r="H139" s="522">
        <v>0.74</v>
      </c>
      <c r="I139" s="618">
        <v>0.14000000000000001</v>
      </c>
      <c r="J139" s="933"/>
      <c r="K139" s="936"/>
      <c r="L139" s="939"/>
      <c r="M139" s="169"/>
      <c r="N139" s="173"/>
      <c r="O139" s="169"/>
      <c r="P139" s="169"/>
      <c r="Q139" s="169"/>
      <c r="R139" s="169"/>
      <c r="S139" s="195"/>
      <c r="V139" s="207" t="s">
        <v>141</v>
      </c>
      <c r="W139" s="667">
        <v>1.6E-2</v>
      </c>
      <c r="X139" s="666">
        <v>0.05</v>
      </c>
      <c r="AA139" s="151"/>
      <c r="AB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45"/>
      <c r="AW139" s="145"/>
      <c r="AX139" s="145"/>
      <c r="AY139" s="145"/>
      <c r="AZ139" s="145"/>
    </row>
    <row r="140" spans="1:52" ht="30" customHeight="1" thickBot="1" x14ac:dyDescent="0.25">
      <c r="A140" s="208"/>
      <c r="B140" s="20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73"/>
      <c r="O140" s="169"/>
      <c r="P140" s="169"/>
      <c r="Q140" s="169"/>
      <c r="R140" s="169"/>
      <c r="S140" s="195"/>
      <c r="V140" s="210" t="s">
        <v>169</v>
      </c>
      <c r="W140" s="668">
        <v>0.03</v>
      </c>
      <c r="X140" s="335">
        <f>100/1000</f>
        <v>0.1</v>
      </c>
      <c r="AA140" s="151"/>
      <c r="AB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45"/>
      <c r="AW140" s="145"/>
      <c r="AX140" s="145"/>
      <c r="AY140" s="145"/>
      <c r="AZ140" s="145"/>
    </row>
    <row r="141" spans="1:52" ht="30" customHeight="1" x14ac:dyDescent="0.2">
      <c r="A141" s="902" t="s">
        <v>193</v>
      </c>
      <c r="B141" s="903"/>
      <c r="C141" s="965" t="s">
        <v>202</v>
      </c>
      <c r="D141" s="946" t="s">
        <v>152</v>
      </c>
      <c r="E141" s="949" t="s">
        <v>203</v>
      </c>
      <c r="F141" s="523">
        <v>15.2</v>
      </c>
      <c r="G141" s="524">
        <v>0.1</v>
      </c>
      <c r="H141" s="622">
        <v>0</v>
      </c>
      <c r="I141" s="623">
        <v>0.3</v>
      </c>
      <c r="J141" s="969">
        <v>2</v>
      </c>
      <c r="K141" s="900">
        <v>44000</v>
      </c>
      <c r="L141" s="901" t="s">
        <v>413</v>
      </c>
      <c r="M141" s="169"/>
      <c r="N141" s="594"/>
      <c r="O141" s="631" t="s">
        <v>174</v>
      </c>
      <c r="P141" s="632" t="s">
        <v>284</v>
      </c>
      <c r="Q141" s="632" t="s">
        <v>175</v>
      </c>
      <c r="R141" s="956" t="s">
        <v>416</v>
      </c>
      <c r="S141" s="925" t="s">
        <v>417</v>
      </c>
      <c r="AA141" s="151"/>
      <c r="AB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</row>
    <row r="142" spans="1:52" ht="30" customHeight="1" x14ac:dyDescent="0.2">
      <c r="A142" s="904"/>
      <c r="B142" s="905"/>
      <c r="C142" s="966"/>
      <c r="D142" s="947"/>
      <c r="E142" s="950"/>
      <c r="F142" s="529">
        <v>24.8</v>
      </c>
      <c r="G142" s="450">
        <v>0.1</v>
      </c>
      <c r="H142" s="456">
        <v>0</v>
      </c>
      <c r="I142" s="624">
        <v>0.2</v>
      </c>
      <c r="J142" s="909"/>
      <c r="K142" s="895"/>
      <c r="L142" s="898"/>
      <c r="M142" s="169"/>
      <c r="N142" s="633" t="s">
        <v>177</v>
      </c>
      <c r="O142" s="634">
        <f>MAX(I141:I143)</f>
        <v>0.3</v>
      </c>
      <c r="P142" s="635">
        <f>MAX(I144:I146)</f>
        <v>1.7</v>
      </c>
      <c r="Q142" s="635">
        <f>MAX(I147:I149)</f>
        <v>9.5000000000000001E-2</v>
      </c>
      <c r="R142" s="957"/>
      <c r="S142" s="926"/>
      <c r="AA142" s="151"/>
      <c r="AB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</row>
    <row r="143" spans="1:52" ht="30" customHeight="1" thickBot="1" x14ac:dyDescent="0.25">
      <c r="A143" s="906"/>
      <c r="B143" s="907"/>
      <c r="C143" s="966"/>
      <c r="D143" s="947"/>
      <c r="E143" s="950"/>
      <c r="F143" s="625">
        <v>29.8</v>
      </c>
      <c r="G143" s="533">
        <v>0.1</v>
      </c>
      <c r="H143" s="535">
        <v>-0.1</v>
      </c>
      <c r="I143" s="626">
        <v>0.2</v>
      </c>
      <c r="J143" s="909">
        <v>1.96</v>
      </c>
      <c r="K143" s="895"/>
      <c r="L143" s="898"/>
      <c r="M143" s="169"/>
      <c r="N143" s="636"/>
      <c r="O143" s="637"/>
      <c r="P143" s="573"/>
      <c r="Q143" s="573"/>
      <c r="R143" s="958"/>
      <c r="S143" s="927"/>
      <c r="U143" s="151"/>
      <c r="AA143" s="151"/>
      <c r="AB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</row>
    <row r="144" spans="1:52" ht="30" customHeight="1" x14ac:dyDescent="0.2">
      <c r="A144" s="902" t="s">
        <v>196</v>
      </c>
      <c r="B144" s="903"/>
      <c r="C144" s="966"/>
      <c r="D144" s="947"/>
      <c r="E144" s="950"/>
      <c r="F144" s="523">
        <v>32.9</v>
      </c>
      <c r="G144" s="524">
        <v>0.1</v>
      </c>
      <c r="H144" s="622">
        <v>-3</v>
      </c>
      <c r="I144" s="627">
        <v>1.7</v>
      </c>
      <c r="J144" s="908">
        <v>2</v>
      </c>
      <c r="K144" s="894">
        <v>44001</v>
      </c>
      <c r="L144" s="897" t="s">
        <v>414</v>
      </c>
      <c r="M144" s="169"/>
      <c r="N144" s="194"/>
      <c r="P144" s="169"/>
      <c r="Q144" s="169"/>
      <c r="R144" s="169"/>
      <c r="S144" s="195"/>
      <c r="U144" s="151"/>
      <c r="AA144" s="151"/>
      <c r="AB144" s="151"/>
      <c r="AG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</row>
    <row r="145" spans="1:47" ht="30" customHeight="1" thickBot="1" x14ac:dyDescent="0.25">
      <c r="A145" s="904"/>
      <c r="B145" s="905"/>
      <c r="C145" s="966"/>
      <c r="D145" s="947"/>
      <c r="E145" s="950"/>
      <c r="F145" s="529">
        <v>51.2</v>
      </c>
      <c r="G145" s="450">
        <v>0.1</v>
      </c>
      <c r="H145" s="450">
        <v>-1.2</v>
      </c>
      <c r="I145" s="579">
        <v>1.7</v>
      </c>
      <c r="J145" s="909">
        <v>1.96</v>
      </c>
      <c r="K145" s="895"/>
      <c r="L145" s="898"/>
      <c r="M145" s="169"/>
      <c r="N145" s="173"/>
      <c r="O145" s="169"/>
      <c r="P145" s="169"/>
      <c r="Q145" s="169"/>
      <c r="R145" s="169"/>
      <c r="S145" s="195"/>
      <c r="U145" s="151"/>
      <c r="AA145" s="151"/>
      <c r="AB145" s="151"/>
      <c r="AG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</row>
    <row r="146" spans="1:47" ht="30" customHeight="1" thickBot="1" x14ac:dyDescent="0.25">
      <c r="A146" s="906"/>
      <c r="B146" s="907"/>
      <c r="C146" s="966"/>
      <c r="D146" s="947"/>
      <c r="E146" s="950"/>
      <c r="F146" s="532">
        <v>77.599999999999994</v>
      </c>
      <c r="G146" s="533">
        <v>0.1</v>
      </c>
      <c r="H146" s="533">
        <v>2.4</v>
      </c>
      <c r="I146" s="580">
        <v>1.7</v>
      </c>
      <c r="J146" s="909"/>
      <c r="K146" s="895"/>
      <c r="L146" s="898"/>
      <c r="M146" s="169"/>
      <c r="N146" s="173"/>
      <c r="O146" s="169"/>
      <c r="P146" s="169"/>
      <c r="Q146" s="169"/>
      <c r="R146" s="169"/>
      <c r="S146" s="195"/>
      <c r="U146" s="151"/>
      <c r="V146" s="910" t="s">
        <v>279</v>
      </c>
      <c r="W146" s="911"/>
      <c r="X146" s="911"/>
      <c r="Y146" s="911"/>
      <c r="Z146" s="911"/>
      <c r="AA146" s="912"/>
      <c r="AB146" s="151"/>
      <c r="AG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</row>
    <row r="147" spans="1:47" ht="30" customHeight="1" thickBot="1" x14ac:dyDescent="0.25">
      <c r="A147" s="902" t="s">
        <v>253</v>
      </c>
      <c r="B147" s="903"/>
      <c r="C147" s="966"/>
      <c r="D147" s="947"/>
      <c r="E147" s="950"/>
      <c r="F147" s="628">
        <v>598.11699999999996</v>
      </c>
      <c r="G147" s="449">
        <v>0.1</v>
      </c>
      <c r="H147" s="449">
        <v>1.4450000000000001</v>
      </c>
      <c r="I147" s="449">
        <v>7.9000000000000001E-2</v>
      </c>
      <c r="J147" s="992">
        <v>2</v>
      </c>
      <c r="K147" s="894">
        <v>43980</v>
      </c>
      <c r="L147" s="897" t="s">
        <v>415</v>
      </c>
      <c r="M147" s="169"/>
      <c r="N147" s="173"/>
      <c r="O147" s="169"/>
      <c r="P147" s="169"/>
      <c r="Q147" s="169"/>
      <c r="R147" s="169"/>
      <c r="S147" s="195"/>
      <c r="U147" s="151"/>
      <c r="V147" s="913"/>
      <c r="W147" s="914"/>
      <c r="X147" s="914"/>
      <c r="Y147" s="914"/>
      <c r="Z147" s="914"/>
      <c r="AA147" s="915"/>
      <c r="AB147" s="151"/>
      <c r="AG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</row>
    <row r="148" spans="1:47" ht="35.1" customHeight="1" x14ac:dyDescent="0.2">
      <c r="A148" s="904"/>
      <c r="B148" s="905"/>
      <c r="C148" s="966"/>
      <c r="D148" s="947"/>
      <c r="E148" s="950"/>
      <c r="F148" s="629">
        <v>752.81600000000003</v>
      </c>
      <c r="G148" s="450">
        <v>0.1</v>
      </c>
      <c r="H148" s="450">
        <v>0.95399999999999996</v>
      </c>
      <c r="I148" s="450">
        <v>8.4000000000000005E-2</v>
      </c>
      <c r="J148" s="895">
        <v>2</v>
      </c>
      <c r="K148" s="895">
        <v>42625</v>
      </c>
      <c r="L148" s="898" t="s">
        <v>204</v>
      </c>
      <c r="M148" s="169"/>
      <c r="N148" s="173"/>
      <c r="O148" s="169"/>
      <c r="P148" s="169"/>
      <c r="Q148" s="169"/>
      <c r="R148" s="169"/>
      <c r="S148" s="195"/>
      <c r="U148" s="151"/>
      <c r="V148" s="976" t="s">
        <v>4</v>
      </c>
      <c r="W148" s="978" t="s">
        <v>280</v>
      </c>
      <c r="X148" s="979"/>
      <c r="Y148" s="979"/>
      <c r="Z148" s="979"/>
      <c r="AA148" s="980"/>
      <c r="AB148" s="151"/>
      <c r="AG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</row>
    <row r="149" spans="1:47" ht="35.1" customHeight="1" thickBot="1" x14ac:dyDescent="0.25">
      <c r="A149" s="906"/>
      <c r="B149" s="907"/>
      <c r="C149" s="967"/>
      <c r="D149" s="948"/>
      <c r="E149" s="951"/>
      <c r="F149" s="630">
        <v>848.553</v>
      </c>
      <c r="G149" s="533">
        <v>0.1</v>
      </c>
      <c r="H149" s="533">
        <v>0.70399999999999996</v>
      </c>
      <c r="I149" s="533">
        <v>9.5000000000000001E-2</v>
      </c>
      <c r="J149" s="896"/>
      <c r="K149" s="896"/>
      <c r="L149" s="899"/>
      <c r="M149" s="169"/>
      <c r="N149" s="173"/>
      <c r="O149" s="169"/>
      <c r="P149" s="169"/>
      <c r="Q149" s="169"/>
      <c r="R149" s="169"/>
      <c r="S149" s="195"/>
      <c r="U149" s="151"/>
      <c r="V149" s="977"/>
      <c r="W149" s="981"/>
      <c r="X149" s="982"/>
      <c r="Y149" s="982"/>
      <c r="Z149" s="982"/>
      <c r="AA149" s="983"/>
      <c r="AB149" s="151"/>
      <c r="AG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</row>
    <row r="150" spans="1:47" ht="39.950000000000003" customHeight="1" thickBot="1" x14ac:dyDescent="0.25">
      <c r="A150" s="173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73"/>
      <c r="O150" s="169"/>
      <c r="P150" s="169"/>
      <c r="Q150" s="169"/>
      <c r="R150" s="169"/>
      <c r="S150" s="195"/>
      <c r="U150" s="151"/>
      <c r="V150" s="214"/>
      <c r="W150" s="952"/>
      <c r="X150" s="952"/>
      <c r="Y150" s="975"/>
      <c r="Z150" s="975"/>
      <c r="AA150" s="215"/>
    </row>
    <row r="151" spans="1:47" ht="39.950000000000003" customHeight="1" x14ac:dyDescent="0.2">
      <c r="A151" s="902" t="s">
        <v>193</v>
      </c>
      <c r="B151" s="903"/>
      <c r="C151" s="965" t="s">
        <v>205</v>
      </c>
      <c r="D151" s="946" t="s">
        <v>152</v>
      </c>
      <c r="E151" s="968" t="s">
        <v>206</v>
      </c>
      <c r="F151" s="523">
        <v>15.1</v>
      </c>
      <c r="G151" s="524">
        <v>0.1</v>
      </c>
      <c r="H151" s="622">
        <v>0.2</v>
      </c>
      <c r="I151" s="638">
        <v>0.3</v>
      </c>
      <c r="J151" s="969">
        <v>2</v>
      </c>
      <c r="K151" s="900">
        <v>44019</v>
      </c>
      <c r="L151" s="901" t="s">
        <v>418</v>
      </c>
      <c r="M151" s="169"/>
      <c r="N151" s="594"/>
      <c r="O151" s="646" t="s">
        <v>174</v>
      </c>
      <c r="P151" s="632" t="s">
        <v>284</v>
      </c>
      <c r="Q151" s="632" t="s">
        <v>175</v>
      </c>
      <c r="R151" s="956" t="s">
        <v>421</v>
      </c>
      <c r="S151" s="925" t="s">
        <v>422</v>
      </c>
      <c r="U151" s="151"/>
      <c r="V151" s="211" t="s">
        <v>281</v>
      </c>
      <c r="W151" s="973" t="s">
        <v>277</v>
      </c>
      <c r="X151" s="973"/>
      <c r="Y151" s="974" t="s">
        <v>217</v>
      </c>
      <c r="Z151" s="974"/>
      <c r="AA151" s="212" t="s">
        <v>217</v>
      </c>
      <c r="AB151" s="213"/>
    </row>
    <row r="152" spans="1:47" ht="39.950000000000003" customHeight="1" x14ac:dyDescent="0.2">
      <c r="A152" s="904"/>
      <c r="B152" s="905"/>
      <c r="C152" s="966"/>
      <c r="D152" s="947"/>
      <c r="E152" s="950"/>
      <c r="F152" s="639">
        <v>24.8</v>
      </c>
      <c r="G152" s="450">
        <v>0.1</v>
      </c>
      <c r="H152" s="456">
        <v>-0.1</v>
      </c>
      <c r="I152" s="624">
        <v>0.2</v>
      </c>
      <c r="J152" s="909"/>
      <c r="K152" s="895"/>
      <c r="L152" s="898"/>
      <c r="M152" s="169"/>
      <c r="N152" s="597" t="s">
        <v>178</v>
      </c>
      <c r="O152" s="647">
        <f>MAX(I151:I153)</f>
        <v>0.3</v>
      </c>
      <c r="P152" s="635">
        <f>MAX(I154:I156)</f>
        <v>1.7</v>
      </c>
      <c r="Q152" s="635">
        <f>MAX(I157:I159)</f>
        <v>9.9000000000000005E-2</v>
      </c>
      <c r="R152" s="957"/>
      <c r="S152" s="926"/>
      <c r="V152" s="214" t="s">
        <v>167</v>
      </c>
      <c r="W152" s="952" t="s">
        <v>143</v>
      </c>
      <c r="X152" s="952"/>
      <c r="Y152" s="975" t="s">
        <v>278</v>
      </c>
      <c r="Z152" s="975"/>
      <c r="AA152" s="215" t="s">
        <v>217</v>
      </c>
      <c r="AB152" s="213"/>
    </row>
    <row r="153" spans="1:47" ht="39.950000000000003" customHeight="1" thickBot="1" x14ac:dyDescent="0.25">
      <c r="A153" s="906"/>
      <c r="B153" s="907"/>
      <c r="C153" s="966"/>
      <c r="D153" s="947"/>
      <c r="E153" s="950"/>
      <c r="F153" s="625">
        <v>29.7</v>
      </c>
      <c r="G153" s="533">
        <v>0.1</v>
      </c>
      <c r="H153" s="535">
        <v>-0.3</v>
      </c>
      <c r="I153" s="626">
        <v>0.2</v>
      </c>
      <c r="J153" s="909"/>
      <c r="K153" s="895"/>
      <c r="L153" s="898"/>
      <c r="M153" s="169"/>
      <c r="N153" s="621"/>
      <c r="O153" s="572"/>
      <c r="P153" s="573"/>
      <c r="Q153" s="573"/>
      <c r="R153" s="958"/>
      <c r="S153" s="927"/>
      <c r="V153" s="214" t="s">
        <v>168</v>
      </c>
      <c r="W153" s="952" t="s">
        <v>144</v>
      </c>
      <c r="X153" s="952"/>
      <c r="Y153" s="975" t="s">
        <v>276</v>
      </c>
      <c r="Z153" s="975"/>
      <c r="AA153" s="215" t="s">
        <v>217</v>
      </c>
      <c r="AB153" s="213"/>
    </row>
    <row r="154" spans="1:47" ht="39.950000000000003" customHeight="1" x14ac:dyDescent="0.2">
      <c r="A154" s="902" t="s">
        <v>196</v>
      </c>
      <c r="B154" s="903"/>
      <c r="C154" s="966"/>
      <c r="D154" s="947"/>
      <c r="E154" s="950"/>
      <c r="F154" s="523">
        <v>33.200000000000003</v>
      </c>
      <c r="G154" s="524">
        <v>0.1</v>
      </c>
      <c r="H154" s="524">
        <v>-3.2</v>
      </c>
      <c r="I154" s="627">
        <v>1.7</v>
      </c>
      <c r="J154" s="908">
        <v>2</v>
      </c>
      <c r="K154" s="894">
        <v>44020</v>
      </c>
      <c r="L154" s="897" t="s">
        <v>419</v>
      </c>
      <c r="M154" s="169"/>
      <c r="N154" s="173"/>
      <c r="O154" s="169"/>
      <c r="P154" s="169"/>
      <c r="Q154" s="169"/>
      <c r="R154" s="169"/>
      <c r="S154" s="195"/>
      <c r="V154" s="214"/>
      <c r="W154" s="952"/>
      <c r="X154" s="952"/>
      <c r="Y154" s="952"/>
      <c r="Z154" s="952"/>
      <c r="AA154" s="215"/>
    </row>
    <row r="155" spans="1:47" ht="30" customHeight="1" x14ac:dyDescent="0.2">
      <c r="A155" s="904"/>
      <c r="B155" s="905"/>
      <c r="C155" s="966"/>
      <c r="D155" s="947"/>
      <c r="E155" s="950"/>
      <c r="F155" s="529">
        <v>51.4</v>
      </c>
      <c r="G155" s="450">
        <v>0.1</v>
      </c>
      <c r="H155" s="450">
        <v>-1.5</v>
      </c>
      <c r="I155" s="579">
        <v>1.7</v>
      </c>
      <c r="J155" s="909"/>
      <c r="K155" s="895"/>
      <c r="L155" s="898"/>
      <c r="M155" s="169"/>
      <c r="N155" s="173"/>
      <c r="O155" s="169"/>
      <c r="P155" s="169"/>
      <c r="Q155" s="169"/>
      <c r="R155" s="169"/>
      <c r="S155" s="195"/>
    </row>
    <row r="156" spans="1:47" ht="30" customHeight="1" thickBot="1" x14ac:dyDescent="0.25">
      <c r="A156" s="906"/>
      <c r="B156" s="907"/>
      <c r="C156" s="966"/>
      <c r="D156" s="947"/>
      <c r="E156" s="950"/>
      <c r="F156" s="532">
        <v>77.599999999999994</v>
      </c>
      <c r="G156" s="533">
        <v>0.1</v>
      </c>
      <c r="H156" s="533">
        <v>2.5</v>
      </c>
      <c r="I156" s="580">
        <v>1.7</v>
      </c>
      <c r="J156" s="909"/>
      <c r="K156" s="895"/>
      <c r="L156" s="898"/>
      <c r="M156" s="169"/>
      <c r="N156" s="173"/>
      <c r="O156" s="169"/>
      <c r="P156" s="169"/>
      <c r="Q156" s="169"/>
      <c r="R156" s="169"/>
      <c r="S156" s="195"/>
    </row>
    <row r="157" spans="1:47" ht="30" customHeight="1" x14ac:dyDescent="0.2">
      <c r="A157" s="902" t="s">
        <v>253</v>
      </c>
      <c r="B157" s="903"/>
      <c r="C157" s="966"/>
      <c r="D157" s="947"/>
      <c r="E157" s="950"/>
      <c r="F157" s="640">
        <v>598.08199999999999</v>
      </c>
      <c r="G157" s="449">
        <v>0.1</v>
      </c>
      <c r="H157" s="449">
        <v>1.4830000000000001</v>
      </c>
      <c r="I157" s="641">
        <v>0.08</v>
      </c>
      <c r="J157" s="970">
        <v>1.96</v>
      </c>
      <c r="K157" s="894">
        <v>43980</v>
      </c>
      <c r="L157" s="897" t="s">
        <v>420</v>
      </c>
      <c r="M157" s="169"/>
      <c r="N157" s="173"/>
      <c r="O157" s="169"/>
      <c r="P157" s="216"/>
      <c r="Q157" s="216"/>
      <c r="R157" s="216"/>
      <c r="S157" s="195"/>
    </row>
    <row r="158" spans="1:47" ht="30" customHeight="1" x14ac:dyDescent="0.2">
      <c r="A158" s="904"/>
      <c r="B158" s="905"/>
      <c r="C158" s="966"/>
      <c r="D158" s="947"/>
      <c r="E158" s="950"/>
      <c r="F158" s="642">
        <v>752.79499999999996</v>
      </c>
      <c r="G158" s="450">
        <v>0.1</v>
      </c>
      <c r="H158" s="643">
        <v>0.97299999999999998</v>
      </c>
      <c r="I158" s="644">
        <v>8.4000000000000005E-2</v>
      </c>
      <c r="J158" s="971">
        <v>1.96</v>
      </c>
      <c r="K158" s="895">
        <v>42586</v>
      </c>
      <c r="L158" s="898" t="s">
        <v>207</v>
      </c>
      <c r="M158" s="169"/>
      <c r="N158" s="173"/>
      <c r="O158" s="169"/>
      <c r="P158" s="216"/>
      <c r="Q158" s="216"/>
      <c r="R158" s="216"/>
      <c r="S158" s="195"/>
    </row>
    <row r="159" spans="1:47" ht="30" customHeight="1" thickBot="1" x14ac:dyDescent="0.25">
      <c r="A159" s="906"/>
      <c r="B159" s="907"/>
      <c r="C159" s="967"/>
      <c r="D159" s="948"/>
      <c r="E159" s="951"/>
      <c r="F159" s="591">
        <v>848.6</v>
      </c>
      <c r="G159" s="533">
        <v>0.1</v>
      </c>
      <c r="H159" s="533">
        <v>0.65600000000000003</v>
      </c>
      <c r="I159" s="645">
        <v>9.9000000000000005E-2</v>
      </c>
      <c r="J159" s="972">
        <v>2</v>
      </c>
      <c r="K159" s="896">
        <v>42625</v>
      </c>
      <c r="L159" s="899" t="s">
        <v>208</v>
      </c>
      <c r="M159" s="169"/>
      <c r="N159" s="217"/>
      <c r="O159" s="177"/>
      <c r="P159" s="218"/>
      <c r="Q159" s="218"/>
      <c r="R159" s="218"/>
      <c r="S159" s="178"/>
    </row>
    <row r="160" spans="1:47" ht="30" customHeight="1" x14ac:dyDescent="0.2">
      <c r="A160" s="173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216"/>
      <c r="P160" s="216"/>
      <c r="Q160" s="216"/>
      <c r="R160" s="216"/>
      <c r="S160" s="216"/>
    </row>
    <row r="161" spans="1:23" ht="30" customHeight="1" thickBot="1" x14ac:dyDescent="0.3"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spans="1:23" ht="30" customHeight="1" thickBot="1" x14ac:dyDescent="0.3">
      <c r="B162" s="887" t="s">
        <v>254</v>
      </c>
      <c r="C162" s="888"/>
      <c r="D162" s="888"/>
      <c r="E162" s="888"/>
      <c r="F162" s="888"/>
      <c r="G162" s="889"/>
      <c r="J162" s="262" t="s">
        <v>215</v>
      </c>
      <c r="K162" s="263" t="str">
        <f>D108</f>
        <v>Fabricante</v>
      </c>
      <c r="L162" s="264" t="str">
        <f>E108</f>
        <v>Identificación / Serie</v>
      </c>
      <c r="M162" s="264" t="str">
        <f>R108</f>
        <v>Fecha de Calibración</v>
      </c>
      <c r="N162" s="264" t="str">
        <f>S108</f>
        <v>Trazabilidad y numero</v>
      </c>
      <c r="O162" s="265" t="s">
        <v>174</v>
      </c>
      <c r="P162" s="264" t="s">
        <v>284</v>
      </c>
      <c r="Q162" s="264" t="s">
        <v>175</v>
      </c>
      <c r="R162" s="265" t="s">
        <v>223</v>
      </c>
      <c r="S162" s="265" t="s">
        <v>224</v>
      </c>
      <c r="T162" s="265" t="s">
        <v>285</v>
      </c>
      <c r="U162" s="265" t="s">
        <v>286</v>
      </c>
      <c r="V162" s="264" t="s">
        <v>225</v>
      </c>
      <c r="W162" s="266" t="s">
        <v>226</v>
      </c>
    </row>
    <row r="163" spans="1:23" ht="30" customHeight="1" thickBot="1" x14ac:dyDescent="0.3">
      <c r="A163" s="155"/>
      <c r="B163" s="890" t="s">
        <v>227</v>
      </c>
      <c r="C163" s="891"/>
      <c r="D163" s="260" t="s">
        <v>222</v>
      </c>
      <c r="E163" s="260" t="s">
        <v>218</v>
      </c>
      <c r="F163" s="260" t="s">
        <v>236</v>
      </c>
      <c r="G163" s="261" t="s">
        <v>218</v>
      </c>
      <c r="J163" s="219"/>
      <c r="K163" s="220"/>
      <c r="L163" s="221"/>
      <c r="M163" s="221"/>
      <c r="N163" s="221"/>
      <c r="O163" s="222"/>
      <c r="P163" s="221"/>
      <c r="Q163" s="221"/>
      <c r="R163" s="222"/>
      <c r="S163" s="222"/>
      <c r="T163" s="222"/>
      <c r="U163" s="222"/>
      <c r="V163" s="221"/>
      <c r="W163" s="223"/>
    </row>
    <row r="164" spans="1:23" ht="30" customHeight="1" thickBot="1" x14ac:dyDescent="0.3">
      <c r="B164" s="155"/>
      <c r="C164" s="145"/>
      <c r="D164" s="145"/>
      <c r="E164" s="145"/>
      <c r="F164" s="145"/>
      <c r="G164" s="156"/>
      <c r="J164" s="523" t="str">
        <f>N112</f>
        <v>V-002</v>
      </c>
      <c r="K164" s="524" t="str">
        <f>D111</f>
        <v>Lufft Opus 20</v>
      </c>
      <c r="L164" s="524" t="str">
        <f>E111</f>
        <v>0,23.0714.0802.024</v>
      </c>
      <c r="M164" s="648" t="str">
        <f>R111</f>
        <v>2020-07-07 / 2020-7-08 / 2020-05-29</v>
      </c>
      <c r="N164" s="649" t="str">
        <f>S111</f>
        <v>INM  4629 - INM 4630 - INM 4626</v>
      </c>
      <c r="O164" s="524">
        <f>O112</f>
        <v>0.3</v>
      </c>
      <c r="P164" s="524">
        <f t="shared" ref="P164:Q164" si="15">P112</f>
        <v>1.7</v>
      </c>
      <c r="Q164" s="622">
        <f t="shared" si="15"/>
        <v>9.6000000000000002E-2</v>
      </c>
      <c r="R164" s="650">
        <f>SLOPE(H111:H113,F111:F113)</f>
        <v>-6.0695118834653726E-3</v>
      </c>
      <c r="S164" s="650">
        <f>INTERCEPT(H111:H113,F111:F113)</f>
        <v>0.10727702530028116</v>
      </c>
      <c r="T164" s="650">
        <f>SLOPE(H114:H116,F114:F116)</f>
        <v>0.1454156155702041</v>
      </c>
      <c r="U164" s="650">
        <f>INTERCEPT(H114:H116,F114:F116)</f>
        <v>-8.3663878253816613</v>
      </c>
      <c r="V164" s="650">
        <f>SLOPE(H117:H119,F117:F119)</f>
        <v>-3.0257969486283411E-3</v>
      </c>
      <c r="W164" s="651">
        <f>INTERCEPT(H117:H119,F117:F119)</f>
        <v>3.3404896034287122</v>
      </c>
    </row>
    <row r="165" spans="1:23" ht="30" customHeight="1" x14ac:dyDescent="0.25">
      <c r="B165" s="892" t="s">
        <v>228</v>
      </c>
      <c r="C165" s="893"/>
      <c r="D165" s="268">
        <v>21400</v>
      </c>
      <c r="E165" s="224" t="s">
        <v>273</v>
      </c>
      <c r="F165" s="224">
        <v>150</v>
      </c>
      <c r="G165" s="256" t="s">
        <v>235</v>
      </c>
      <c r="J165" s="639" t="str">
        <f>N142</f>
        <v>M-010</v>
      </c>
      <c r="K165" s="450" t="str">
        <f>D141</f>
        <v>Lufft Opus 20</v>
      </c>
      <c r="L165" s="450" t="str">
        <f>E141</f>
        <v>0,26.0714.0802.024</v>
      </c>
      <c r="M165" s="652" t="str">
        <f>R141</f>
        <v>2020-06-18 2020-06-19- 2020-05-29</v>
      </c>
      <c r="N165" s="455" t="str">
        <f>S141</f>
        <v>INM 4608 - INM 4609 -   INM 4623</v>
      </c>
      <c r="O165" s="456">
        <f>O142</f>
        <v>0.3</v>
      </c>
      <c r="P165" s="456">
        <f>P142</f>
        <v>1.7</v>
      </c>
      <c r="Q165" s="456">
        <f>Q142</f>
        <v>9.5000000000000001E-2</v>
      </c>
      <c r="R165" s="653">
        <f>SLOPE(H141:H143,F141:F143)</f>
        <v>-5.9336401065633333E-3</v>
      </c>
      <c r="S165" s="653">
        <f>INTERCEPT(H141:H143,F141:F143)</f>
        <v>0.10472269314604021</v>
      </c>
      <c r="T165" s="653">
        <f>SLOPE(H144:H146,F144:F146)</f>
        <v>0.12190340402780254</v>
      </c>
      <c r="U165" s="653">
        <f>INTERCEPT(H144:H146,F144:F146)</f>
        <v>-7.1705934770985564</v>
      </c>
      <c r="V165" s="653">
        <f>SLOPE(H147:H149,F147:F149)</f>
        <v>-2.9793134128553089E-3</v>
      </c>
      <c r="W165" s="654">
        <f>INTERCEPT(H147:H149,F147:F149)</f>
        <v>3.2186527137291572</v>
      </c>
    </row>
    <row r="166" spans="1:23" ht="30" customHeight="1" thickBot="1" x14ac:dyDescent="0.3">
      <c r="B166" s="885" t="s">
        <v>255</v>
      </c>
      <c r="C166" s="886"/>
      <c r="D166" s="267">
        <v>8600</v>
      </c>
      <c r="E166" s="225" t="s">
        <v>235</v>
      </c>
      <c r="F166" s="225">
        <v>170</v>
      </c>
      <c r="G166" s="255" t="s">
        <v>235</v>
      </c>
      <c r="J166" s="639" t="str">
        <f>N152</f>
        <v>M-011</v>
      </c>
      <c r="K166" s="450" t="str">
        <f>D151</f>
        <v>Lufft Opus 20</v>
      </c>
      <c r="L166" s="450" t="str">
        <f>E151</f>
        <v>0,22.0714.0802.024</v>
      </c>
      <c r="M166" s="652" t="str">
        <f>R151</f>
        <v>2020-07-07 / 2020-07-08 / 2020-05-29</v>
      </c>
      <c r="N166" s="455" t="str">
        <f>S151</f>
        <v>INM-4627-INM 4628-INM 4624</v>
      </c>
      <c r="O166" s="456">
        <f>O152</f>
        <v>0.3</v>
      </c>
      <c r="P166" s="456">
        <f>P152</f>
        <v>1.7</v>
      </c>
      <c r="Q166" s="456">
        <f>Q152</f>
        <v>9.9000000000000005E-2</v>
      </c>
      <c r="R166" s="653">
        <f>SLOPE(H151:H153,F151:F153)</f>
        <v>-3.3780112298496645E-2</v>
      </c>
      <c r="S166" s="653">
        <f>INTERCEPT(H151:H153,F151:F153)</f>
        <v>0.71703193865845549</v>
      </c>
      <c r="T166" s="653">
        <f>SLOPE(H154:H156,F154:F156)</f>
        <v>0.130081899205096</v>
      </c>
      <c r="U166" s="653">
        <f>INTERCEPT(H154:H156,F154:F156)</f>
        <v>-7.7664280170221902</v>
      </c>
      <c r="V166" s="653">
        <f>SLOPE(H157:H159,F157:F159)</f>
        <v>-3.3007100073608104E-3</v>
      </c>
      <c r="W166" s="654">
        <f>INTERCEPT(H157:H159,F157:F159)</f>
        <v>3.4572785816199776</v>
      </c>
    </row>
    <row r="167" spans="1:23" ht="30" customHeight="1" thickBot="1" x14ac:dyDescent="0.3">
      <c r="B167" s="885" t="s">
        <v>229</v>
      </c>
      <c r="C167" s="886"/>
      <c r="D167" s="267">
        <v>8400</v>
      </c>
      <c r="E167" s="225" t="s">
        <v>235</v>
      </c>
      <c r="F167" s="225">
        <v>170</v>
      </c>
      <c r="G167" s="255" t="s">
        <v>235</v>
      </c>
      <c r="J167" s="529" t="str">
        <f>N122</f>
        <v xml:space="preserve">M-012  </v>
      </c>
      <c r="K167" s="450" t="str">
        <f>D121</f>
        <v>Lufft Opus 20</v>
      </c>
      <c r="L167" s="524">
        <f>E121</f>
        <v>19506160802033</v>
      </c>
      <c r="M167" s="652" t="str">
        <f>R121</f>
        <v>2020-06-18 / 2020-06-19/ 2020-05-29</v>
      </c>
      <c r="N167" s="455" t="str">
        <f>S121</f>
        <v>INM-4610, INM 4611 - INM 4625</v>
      </c>
      <c r="O167" s="450">
        <f>O122</f>
        <v>0.3</v>
      </c>
      <c r="P167" s="450">
        <f>P122</f>
        <v>1.7</v>
      </c>
      <c r="Q167" s="456">
        <f>Q122</f>
        <v>0.15</v>
      </c>
      <c r="R167" s="653">
        <f>SLOPE(H121:H123,F121:F123)</f>
        <v>2.3901310717039322E-2</v>
      </c>
      <c r="S167" s="653">
        <f>INTERCEPT(H121:H123,F121:F123)</f>
        <v>-0.41878694423027496</v>
      </c>
      <c r="T167" s="653">
        <f>SLOPE(H124:H126,F124:F126)</f>
        <v>0.14518834517177825</v>
      </c>
      <c r="U167" s="653">
        <f>INTERCEPT(H124:H126,F124:F126)</f>
        <v>-7.2471301262537358</v>
      </c>
      <c r="V167" s="653">
        <f>SLOPE(H127:H129,F127:F129)</f>
        <v>-2.0169926392810842E-3</v>
      </c>
      <c r="W167" s="654">
        <f>INTERCEPT(H127:H129,F127:F129)</f>
        <v>2.8938779877398297</v>
      </c>
    </row>
    <row r="168" spans="1:23" ht="30" customHeight="1" thickBot="1" x14ac:dyDescent="0.3">
      <c r="B168" s="885" t="s">
        <v>260</v>
      </c>
      <c r="C168" s="886"/>
      <c r="D168" s="267">
        <v>7950</v>
      </c>
      <c r="E168" s="225" t="s">
        <v>235</v>
      </c>
      <c r="F168" s="225">
        <v>140</v>
      </c>
      <c r="G168" s="255" t="s">
        <v>235</v>
      </c>
      <c r="J168" s="609" t="str">
        <f>N132</f>
        <v xml:space="preserve">M-013  </v>
      </c>
      <c r="K168" s="611" t="str">
        <f>D131</f>
        <v>Lufft Opus 20</v>
      </c>
      <c r="L168" s="602">
        <f>E131</f>
        <v>19406160802033</v>
      </c>
      <c r="M168" s="655" t="str">
        <f>R131</f>
        <v xml:space="preserve">2019-09-24  / 2019-09-25  / 2020-10-02 </v>
      </c>
      <c r="N168" s="655" t="str">
        <f>S131</f>
        <v>INM 4216 - INM 4217 -  INM 4703</v>
      </c>
      <c r="O168" s="611">
        <f>O132</f>
        <v>0.3</v>
      </c>
      <c r="P168" s="611">
        <f>P132</f>
        <v>1.7</v>
      </c>
      <c r="Q168" s="656">
        <f>Q132</f>
        <v>0.14000000000000001</v>
      </c>
      <c r="R168" s="657">
        <f>SLOPE(H131:H133,F131:F133)</f>
        <v>1.3499905595065769E-2</v>
      </c>
      <c r="S168" s="658">
        <f>INTERCEPT(H131:H133,F131:F133)</f>
        <v>-0.31364780665869468</v>
      </c>
      <c r="T168" s="657">
        <f>SLOPE(H134:H136,F134:F136)</f>
        <v>0.101903287496585</v>
      </c>
      <c r="U168" s="658">
        <f>INTERCEPT(H134:H136,F134:F136)</f>
        <v>-5.6461160185775423</v>
      </c>
      <c r="V168" s="657">
        <f>SLOPE(H137:H139,F137:F139)</f>
        <v>-2.274176216186185E-3</v>
      </c>
      <c r="W168" s="659">
        <f>INTERCEPT(H137:H139,F137:F139)</f>
        <v>3.0586916237565838</v>
      </c>
    </row>
    <row r="169" spans="1:23" ht="30" customHeight="1" x14ac:dyDescent="0.25">
      <c r="B169" s="885" t="s">
        <v>230</v>
      </c>
      <c r="C169" s="886"/>
      <c r="D169" s="267">
        <v>7700</v>
      </c>
      <c r="E169" s="225" t="s">
        <v>235</v>
      </c>
      <c r="F169" s="225">
        <v>200</v>
      </c>
      <c r="G169" s="255" t="s">
        <v>235</v>
      </c>
    </row>
    <row r="170" spans="1:23" ht="30" customHeight="1" x14ac:dyDescent="0.25">
      <c r="B170" s="885" t="s">
        <v>231</v>
      </c>
      <c r="C170" s="886"/>
      <c r="D170" s="267">
        <v>7800</v>
      </c>
      <c r="E170" s="225" t="s">
        <v>235</v>
      </c>
      <c r="F170" s="225">
        <v>200</v>
      </c>
      <c r="G170" s="255" t="s">
        <v>235</v>
      </c>
    </row>
    <row r="171" spans="1:23" ht="30" customHeight="1" x14ac:dyDescent="0.25">
      <c r="B171" s="885" t="s">
        <v>232</v>
      </c>
      <c r="C171" s="886"/>
      <c r="D171" s="267">
        <v>7700</v>
      </c>
      <c r="E171" s="225" t="s">
        <v>235</v>
      </c>
      <c r="F171" s="225">
        <v>400</v>
      </c>
      <c r="G171" s="255" t="s">
        <v>235</v>
      </c>
    </row>
    <row r="172" spans="1:23" ht="30" customHeight="1" x14ac:dyDescent="0.25">
      <c r="B172" s="885" t="s">
        <v>233</v>
      </c>
      <c r="C172" s="886"/>
      <c r="D172" s="267">
        <v>7100</v>
      </c>
      <c r="E172" s="225" t="s">
        <v>235</v>
      </c>
      <c r="F172" s="225">
        <v>600</v>
      </c>
      <c r="G172" s="255" t="s">
        <v>235</v>
      </c>
    </row>
    <row r="173" spans="1:23" ht="30" customHeight="1" x14ac:dyDescent="0.25">
      <c r="B173" s="885" t="s">
        <v>234</v>
      </c>
      <c r="C173" s="886"/>
      <c r="D173" s="267">
        <v>2700</v>
      </c>
      <c r="E173" s="225" t="s">
        <v>235</v>
      </c>
      <c r="F173" s="225">
        <v>130</v>
      </c>
      <c r="G173" s="255" t="s">
        <v>235</v>
      </c>
    </row>
    <row r="174" spans="1:23" ht="30" customHeight="1" thickBot="1" x14ac:dyDescent="0.3">
      <c r="B174" s="883" t="s">
        <v>261</v>
      </c>
      <c r="C174" s="884"/>
      <c r="D174" s="269">
        <v>7840</v>
      </c>
      <c r="E174" s="226" t="s">
        <v>235</v>
      </c>
      <c r="F174" s="226">
        <v>140</v>
      </c>
      <c r="G174" s="254" t="s">
        <v>235</v>
      </c>
    </row>
    <row r="175" spans="1:23" ht="30" customHeight="1" x14ac:dyDescent="0.25"/>
    <row r="176" spans="1:23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230" spans="61:64" ht="35.1" customHeight="1" x14ac:dyDescent="0.25">
      <c r="BI230" s="227"/>
      <c r="BJ230" s="227"/>
      <c r="BK230" s="227"/>
      <c r="BL230" s="227"/>
    </row>
    <row r="231" spans="61:64" ht="35.1" customHeight="1" x14ac:dyDescent="0.25">
      <c r="BI231" s="227"/>
      <c r="BJ231" s="227"/>
      <c r="BK231" s="227"/>
      <c r="BL231" s="227"/>
    </row>
    <row r="232" spans="61:64" ht="35.1" customHeight="1" x14ac:dyDescent="0.25">
      <c r="BI232" s="227"/>
      <c r="BJ232" s="227"/>
      <c r="BK232" s="227"/>
      <c r="BL232" s="227"/>
    </row>
    <row r="233" spans="61:64" ht="35.1" customHeight="1" x14ac:dyDescent="0.25">
      <c r="BI233" s="227"/>
      <c r="BJ233" s="227"/>
      <c r="BK233" s="227"/>
      <c r="BL233" s="227"/>
    </row>
  </sheetData>
  <sheetProtection algorithmName="SHA-512" hashValue="ryZoBtodpA1Zjaz2QhlJiFLcByPMk/n+0foQXXnzazvdO5UY2kQLBxW2pQt+U5lK/KQlms6u4UROpDR0UzFQEg==" saltValue="hwlHiKjC8GN7nTWgdlueeg==" spinCount="100000" sheet="1" objects="1" scenarios="1"/>
  <mergeCells count="176">
    <mergeCell ref="B2:H3"/>
    <mergeCell ref="W8:W9"/>
    <mergeCell ref="N6:AB7"/>
    <mergeCell ref="AB8:AB9"/>
    <mergeCell ref="AB11:AB27"/>
    <mergeCell ref="AB30:AB45"/>
    <mergeCell ref="B4:B5"/>
    <mergeCell ref="C4:C5"/>
    <mergeCell ref="D4:D5"/>
    <mergeCell ref="E4:E5"/>
    <mergeCell ref="F4:F5"/>
    <mergeCell ref="G4:G5"/>
    <mergeCell ref="H4:H5"/>
    <mergeCell ref="X8:X9"/>
    <mergeCell ref="Y8:Y9"/>
    <mergeCell ref="Z8:Z9"/>
    <mergeCell ref="AA8:AA9"/>
    <mergeCell ref="B32:J33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H34:H35"/>
    <mergeCell ref="I34:I35"/>
    <mergeCell ref="J34:J35"/>
    <mergeCell ref="K34:K35"/>
    <mergeCell ref="V105:Z106"/>
    <mergeCell ref="B34:B35"/>
    <mergeCell ref="C34:C35"/>
    <mergeCell ref="D34:D35"/>
    <mergeCell ref="E34:E35"/>
    <mergeCell ref="F34:F35"/>
    <mergeCell ref="G34:G35"/>
    <mergeCell ref="A105:S106"/>
    <mergeCell ref="A37:A40"/>
    <mergeCell ref="Z107:Z108"/>
    <mergeCell ref="D108:D109"/>
    <mergeCell ref="E108:E109"/>
    <mergeCell ref="F108:F109"/>
    <mergeCell ref="G108:G109"/>
    <mergeCell ref="O108:Q109"/>
    <mergeCell ref="R108:R109"/>
    <mergeCell ref="S108:S109"/>
    <mergeCell ref="L108:L109"/>
    <mergeCell ref="N108:N109"/>
    <mergeCell ref="H108:H109"/>
    <mergeCell ref="I108:I109"/>
    <mergeCell ref="J108:J109"/>
    <mergeCell ref="K108:K109"/>
    <mergeCell ref="V107:V108"/>
    <mergeCell ref="W107:W108"/>
    <mergeCell ref="X107:X108"/>
    <mergeCell ref="Y107:Y108"/>
    <mergeCell ref="A107:S107"/>
    <mergeCell ref="C108:C109"/>
    <mergeCell ref="A108:B109"/>
    <mergeCell ref="K117:K119"/>
    <mergeCell ref="L117:L119"/>
    <mergeCell ref="L111:L113"/>
    <mergeCell ref="S111:S113"/>
    <mergeCell ref="A114:B116"/>
    <mergeCell ref="J114:J116"/>
    <mergeCell ref="K114:K116"/>
    <mergeCell ref="L114:L116"/>
    <mergeCell ref="A111:B113"/>
    <mergeCell ref="C111:C119"/>
    <mergeCell ref="D111:D119"/>
    <mergeCell ref="E111:E119"/>
    <mergeCell ref="J111:J113"/>
    <mergeCell ref="K111:K113"/>
    <mergeCell ref="R111:R113"/>
    <mergeCell ref="L121:L123"/>
    <mergeCell ref="R151:R153"/>
    <mergeCell ref="S151:S153"/>
    <mergeCell ref="A147:B149"/>
    <mergeCell ref="J147:J149"/>
    <mergeCell ref="K147:K149"/>
    <mergeCell ref="L147:L149"/>
    <mergeCell ref="L144:L146"/>
    <mergeCell ref="J131:J133"/>
    <mergeCell ref="K131:K133"/>
    <mergeCell ref="L131:L133"/>
    <mergeCell ref="S131:S133"/>
    <mergeCell ref="R121:R123"/>
    <mergeCell ref="R131:R133"/>
    <mergeCell ref="W153:X153"/>
    <mergeCell ref="J141:J143"/>
    <mergeCell ref="K141:K143"/>
    <mergeCell ref="L141:L143"/>
    <mergeCell ref="W151:X151"/>
    <mergeCell ref="Y151:Z151"/>
    <mergeCell ref="W152:X152"/>
    <mergeCell ref="Y152:Z152"/>
    <mergeCell ref="V148:V149"/>
    <mergeCell ref="Y153:Z153"/>
    <mergeCell ref="W148:AA149"/>
    <mergeCell ref="V146:AA147"/>
    <mergeCell ref="W150:X150"/>
    <mergeCell ref="Y150:Z150"/>
    <mergeCell ref="W154:X154"/>
    <mergeCell ref="Y154:Z154"/>
    <mergeCell ref="A127:B129"/>
    <mergeCell ref="J127:J129"/>
    <mergeCell ref="K127:K129"/>
    <mergeCell ref="L127:L129"/>
    <mergeCell ref="R141:R143"/>
    <mergeCell ref="A134:B136"/>
    <mergeCell ref="J134:J136"/>
    <mergeCell ref="K134:K136"/>
    <mergeCell ref="L134:L136"/>
    <mergeCell ref="A141:B143"/>
    <mergeCell ref="C141:C149"/>
    <mergeCell ref="D141:D149"/>
    <mergeCell ref="E141:E149"/>
    <mergeCell ref="A144:B146"/>
    <mergeCell ref="J144:J146"/>
    <mergeCell ref="K144:K146"/>
    <mergeCell ref="C151:C159"/>
    <mergeCell ref="D151:D159"/>
    <mergeCell ref="E151:E159"/>
    <mergeCell ref="J151:J153"/>
    <mergeCell ref="A157:B159"/>
    <mergeCell ref="J157:J159"/>
    <mergeCell ref="V118:X119"/>
    <mergeCell ref="A124:B126"/>
    <mergeCell ref="J124:J126"/>
    <mergeCell ref="K124:K126"/>
    <mergeCell ref="L124:L126"/>
    <mergeCell ref="S121:S123"/>
    <mergeCell ref="A117:B119"/>
    <mergeCell ref="J117:J119"/>
    <mergeCell ref="S141:S143"/>
    <mergeCell ref="A137:B139"/>
    <mergeCell ref="J137:J139"/>
    <mergeCell ref="K137:K139"/>
    <mergeCell ref="L137:L139"/>
    <mergeCell ref="V120:X120"/>
    <mergeCell ref="A131:B133"/>
    <mergeCell ref="C131:C139"/>
    <mergeCell ref="D131:D139"/>
    <mergeCell ref="E131:E139"/>
    <mergeCell ref="A121:B123"/>
    <mergeCell ref="C121:C129"/>
    <mergeCell ref="D121:D129"/>
    <mergeCell ref="E121:E129"/>
    <mergeCell ref="J121:J123"/>
    <mergeCell ref="K121:K123"/>
    <mergeCell ref="AB46:AB61"/>
    <mergeCell ref="AB62:AB77"/>
    <mergeCell ref="AB85:AB100"/>
    <mergeCell ref="B174:C174"/>
    <mergeCell ref="B172:C172"/>
    <mergeCell ref="B173:C173"/>
    <mergeCell ref="B162:G162"/>
    <mergeCell ref="B163:C163"/>
    <mergeCell ref="B165:C165"/>
    <mergeCell ref="B166:C166"/>
    <mergeCell ref="B167:C167"/>
    <mergeCell ref="B168:C168"/>
    <mergeCell ref="B169:C169"/>
    <mergeCell ref="B170:C170"/>
    <mergeCell ref="B171:C171"/>
    <mergeCell ref="K157:K159"/>
    <mergeCell ref="L157:L159"/>
    <mergeCell ref="K151:K153"/>
    <mergeCell ref="L151:L153"/>
    <mergeCell ref="A154:B156"/>
    <mergeCell ref="J154:J156"/>
    <mergeCell ref="K154:K156"/>
    <mergeCell ref="L154:L156"/>
    <mergeCell ref="A151:B153"/>
  </mergeCells>
  <dataValidations count="3">
    <dataValidation type="list" allowBlank="1" showInputMessage="1" showErrorMessage="1" sqref="Q31" xr:uid="{00000000-0002-0000-0100-000000000000}">
      <formula1>$N$27:$N$45</formula1>
    </dataValidation>
    <dataValidation type="list" allowBlank="1" showInputMessage="1" showErrorMessage="1" sqref="H37" xr:uid="{00000000-0002-0000-0100-000001000000}">
      <formula1>$D$164:$D$175</formula1>
    </dataValidation>
    <dataValidation type="list" allowBlank="1" showInputMessage="1" showErrorMessage="1" sqref="I37" xr:uid="{00000000-0002-0000-0100-000002000000}">
      <formula1>$F$164:$F$173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horizontalDpi="4294967293" r:id="rId1"/>
  <headerFooter>
    <oddFooter>&amp;RRT03-F23 Vr.11 (2021-05-21)</oddFooter>
  </headerFooter>
  <rowBreaks count="3" manualBreakCount="3">
    <brk id="29" max="27" man="1"/>
    <brk id="103" max="27" man="1"/>
    <brk id="144" max="27" man="1"/>
  </rowBreaks>
  <colBreaks count="2" manualBreakCount="2">
    <brk id="28" max="137" man="1"/>
    <brk id="42" max="102" man="1"/>
  </colBreaks>
  <ignoredErrors>
    <ignoredError sqref="R164:R168 S164:S168 T164:T168 U164:U168 V164:V168 W164:W168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U122"/>
  <sheetViews>
    <sheetView showGridLines="0" view="pageBreakPreview" topLeftCell="A19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71"/>
      <c r="D28" s="372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73"/>
      <c r="D29" s="334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73"/>
      <c r="D30" s="334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74"/>
      <c r="D31" s="375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670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Top="1" thickBot="1" x14ac:dyDescent="0.25">
      <c r="A77" s="753" t="s">
        <v>298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5"/>
      <c r="O77" s="49"/>
      <c r="P77" s="49"/>
      <c r="Q77" s="49"/>
      <c r="R77" s="49"/>
      <c r="S77" s="49"/>
      <c r="T77" s="49"/>
    </row>
    <row r="78" spans="1:21" s="103" customFormat="1" ht="35.1" customHeight="1" thickTop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306</v>
      </c>
      <c r="I79" s="345" t="s">
        <v>307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61">
        <f>'DATOS %'!X140</f>
        <v>0.1</v>
      </c>
      <c r="I80" s="362">
        <f>-H80</f>
        <v>-0.1</v>
      </c>
      <c r="J80" s="1095"/>
      <c r="K80" s="1096"/>
      <c r="L80" s="1096"/>
      <c r="M80" s="1097"/>
    </row>
    <row r="81" spans="1:21" s="108" customFormat="1" ht="35.1" customHeight="1" x14ac:dyDescent="0.2">
      <c r="A81" s="340"/>
      <c r="B81" s="340"/>
      <c r="C81" s="340"/>
      <c r="D81" s="340"/>
      <c r="E81" s="340"/>
      <c r="F81" s="351" t="e">
        <f>F75</f>
        <v>#N/A</v>
      </c>
      <c r="G81" s="352" t="e">
        <f>I75</f>
        <v>#DIV/0!</v>
      </c>
      <c r="H81" s="361">
        <f>H80</f>
        <v>0.1</v>
      </c>
      <c r="I81" s="362">
        <f>I80</f>
        <v>-0.1</v>
      </c>
      <c r="J81" s="1095"/>
      <c r="K81" s="1096"/>
      <c r="L81" s="1096"/>
      <c r="M81" s="1097"/>
    </row>
    <row r="82" spans="1:21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63">
        <f>H80</f>
        <v>0.1</v>
      </c>
      <c r="I82" s="364">
        <f>I80</f>
        <v>-0.1</v>
      </c>
      <c r="J82" s="1098"/>
      <c r="K82" s="1099"/>
      <c r="L82" s="1099"/>
      <c r="M82" s="1100"/>
    </row>
    <row r="83" spans="1:21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21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21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  <c r="O85" s="49"/>
      <c r="P85" s="49"/>
      <c r="Q85" s="49"/>
      <c r="R85" s="49"/>
      <c r="S85" s="49"/>
      <c r="T85" s="49"/>
      <c r="U85" s="49"/>
    </row>
    <row r="86" spans="1:21" s="103" customFormat="1" ht="35.1" customHeight="1" x14ac:dyDescent="0.2">
      <c r="G86" s="48"/>
      <c r="H86" s="48"/>
      <c r="I86" s="48"/>
      <c r="J86" s="48"/>
    </row>
    <row r="87" spans="1:21" s="104" customFormat="1" ht="9.9499999999999993" customHeight="1" x14ac:dyDescent="0.2">
      <c r="A87" s="106"/>
      <c r="B87" s="103"/>
      <c r="C87" s="103"/>
      <c r="D87" s="103"/>
      <c r="E87" s="103"/>
      <c r="F87" s="103"/>
      <c r="G87" s="48"/>
      <c r="H87" s="48"/>
    </row>
    <row r="88" spans="1:21" s="108" customFormat="1" ht="35.1" customHeight="1" x14ac:dyDescent="0.2">
      <c r="B88" s="103"/>
      <c r="C88" s="103"/>
      <c r="D88" s="103"/>
      <c r="E88" s="103"/>
      <c r="F88" s="103"/>
      <c r="G88" s="48"/>
      <c r="H88" s="48"/>
    </row>
    <row r="89" spans="1:21" s="103" customFormat="1" ht="61.5" customHeight="1" x14ac:dyDescent="0.2">
      <c r="H89" s="108"/>
      <c r="I89" s="108"/>
      <c r="J89" s="108"/>
      <c r="K89" s="105"/>
    </row>
    <row r="90" spans="1:21" s="103" customFormat="1" ht="35.1" customHeight="1" x14ac:dyDescent="0.2">
      <c r="G90" s="108"/>
      <c r="H90" s="108"/>
      <c r="I90" s="108"/>
      <c r="J90" s="108"/>
      <c r="K90" s="105"/>
    </row>
    <row r="91" spans="1:21" s="103" customFormat="1" ht="35.1" customHeight="1" x14ac:dyDescent="0.2">
      <c r="G91" s="108"/>
      <c r="H91" s="108"/>
      <c r="I91" s="108"/>
      <c r="J91" s="108"/>
      <c r="K91" s="105"/>
    </row>
    <row r="92" spans="1:21" s="103" customFormat="1" ht="35.1" customHeight="1" x14ac:dyDescent="0.2">
      <c r="F92" s="104"/>
      <c r="K92" s="105"/>
    </row>
    <row r="93" spans="1:21" s="103" customFormat="1" ht="50.1" customHeight="1" x14ac:dyDescent="0.2"/>
    <row r="94" spans="1:21" s="103" customFormat="1" ht="57.75" customHeight="1" x14ac:dyDescent="0.2">
      <c r="C94" s="109"/>
      <c r="D94" s="109"/>
      <c r="E94" s="109"/>
    </row>
    <row r="95" spans="1:21" s="103" customFormat="1" ht="35.1" customHeight="1" x14ac:dyDescent="0.2"/>
    <row r="96" spans="1:21" s="103" customFormat="1" ht="35.1" customHeight="1" x14ac:dyDescent="0.2">
      <c r="F96" s="105"/>
      <c r="G96" s="105"/>
      <c r="H96" s="105"/>
      <c r="I96" s="105"/>
      <c r="J96" s="105"/>
    </row>
    <row r="97" spans="1:12" s="103" customFormat="1" ht="35.1" customHeight="1" x14ac:dyDescent="0.2"/>
    <row r="98" spans="1:12" s="103" customFormat="1" ht="50.1" customHeight="1" x14ac:dyDescent="0.2">
      <c r="J98" s="48"/>
    </row>
    <row r="99" spans="1:12" s="103" customFormat="1" ht="55.5" customHeight="1" x14ac:dyDescent="0.2">
      <c r="J99" s="108"/>
    </row>
    <row r="100" spans="1:12" s="103" customFormat="1" ht="50.1" customHeight="1" x14ac:dyDescent="0.2">
      <c r="J100" s="108"/>
    </row>
    <row r="101" spans="1:12" s="104" customFormat="1" ht="31.5" customHeight="1" x14ac:dyDescent="0.2">
      <c r="J101" s="108"/>
    </row>
    <row r="102" spans="1:12" s="103" customFormat="1" ht="35.1" customHeight="1" x14ac:dyDescent="0.2">
      <c r="G102" s="108"/>
      <c r="H102" s="108"/>
      <c r="I102" s="108"/>
      <c r="J102" s="108"/>
    </row>
    <row r="103" spans="1:12" s="103" customFormat="1" ht="35.1" customHeight="1" x14ac:dyDescent="0.2">
      <c r="G103" s="108"/>
      <c r="H103" s="108"/>
      <c r="I103" s="108"/>
      <c r="J103" s="108"/>
    </row>
    <row r="104" spans="1:12" s="103" customFormat="1" ht="9.9499999999999993" customHeight="1" x14ac:dyDescent="0.2">
      <c r="G104" s="105"/>
      <c r="H104" s="105"/>
      <c r="I104" s="105"/>
      <c r="J104" s="105"/>
    </row>
    <row r="105" spans="1:12" s="103" customFormat="1" ht="35.1" customHeight="1" x14ac:dyDescent="0.2">
      <c r="J105" s="105"/>
      <c r="K105" s="105"/>
      <c r="L105" s="105"/>
    </row>
    <row r="106" spans="1:12" s="47" customFormat="1" ht="15" customHeight="1" x14ac:dyDescent="0.2">
      <c r="A106" s="48"/>
      <c r="G106" s="48"/>
      <c r="H106" s="48"/>
      <c r="I106" s="48"/>
      <c r="J106" s="48"/>
      <c r="K106" s="49"/>
    </row>
    <row r="107" spans="1:12" s="49" customFormat="1" ht="31.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2" s="49" customFormat="1" ht="31.5" customHeight="1" x14ac:dyDescent="0.2"/>
    <row r="109" spans="1:12" s="49" customFormat="1" ht="31.5" customHeight="1" x14ac:dyDescent="0.2"/>
    <row r="110" spans="1:12" s="49" customFormat="1" ht="52.5" customHeight="1" x14ac:dyDescent="0.2"/>
    <row r="111" spans="1:12" s="49" customFormat="1" ht="31.5" customHeight="1" x14ac:dyDescent="0.2">
      <c r="K111" s="8"/>
    </row>
    <row r="112" spans="1:12" s="49" customFormat="1" ht="31.5" customHeight="1" x14ac:dyDescent="0.2">
      <c r="K112" s="8"/>
    </row>
    <row r="113" spans="2:10" ht="31.5" customHeight="1" x14ac:dyDescent="0.2">
      <c r="G113" s="75"/>
    </row>
    <row r="114" spans="2:10" ht="51" customHeight="1" x14ac:dyDescent="0.2"/>
    <row r="116" spans="2:10" ht="31.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2:10" ht="31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2:10" ht="31.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10" ht="31.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2:10" ht="31.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2:10" ht="31.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2:10" ht="31.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</row>
  </sheetData>
  <sheetProtection algorithmName="SHA-512" hashValue="IQsjXk5+cs0ar4KflZvk6Zhie0Uuol3lxdDa5zViiJ/7oAieo6xrJShbqxErjd3GKq8ZYwpYKPkVT4Jqtb6ALw==" saltValue="tIuNIl6C+MwpEx2uHXTRyw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3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13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13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13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13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13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U115"/>
  <sheetViews>
    <sheetView showGridLines="0" view="pageBreakPreview" topLeftCell="A6" zoomScale="110" zoomScaleNormal="60" zoomScaleSheetLayoutView="110" workbookViewId="0">
      <selection activeCell="E6" sqref="E6"/>
    </sheetView>
  </sheetViews>
  <sheetFormatPr baseColWidth="10" defaultColWidth="11.42578125" defaultRowHeight="31.5" customHeight="1" x14ac:dyDescent="0.2"/>
  <cols>
    <col min="1" max="1" width="18.2851562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7.85546875" style="36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69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275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441" t="e">
        <f>+I48*((0.0001)^2+(0.001*I20/2)^2+(-0.0034*D20/2)^2+(-0.01*G20/2)^2)^0.5</f>
        <v>#DIV/0!</v>
      </c>
      <c r="J49" s="130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1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402" t="s">
        <v>244</v>
      </c>
      <c r="I61" s="400" t="e">
        <f>MAX(C59,C62,C66:C67)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403" t="s">
        <v>245</v>
      </c>
      <c r="I62" s="401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M63" s="123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442" t="e">
        <f>E74*1000-B74*1000</f>
        <v>#N/A</v>
      </c>
      <c r="G74" s="59"/>
      <c r="H74" s="778"/>
      <c r="I74" s="407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Bot="1" x14ac:dyDescent="0.25">
      <c r="A77" s="1089" t="s">
        <v>298</v>
      </c>
      <c r="B77" s="1090"/>
      <c r="C77" s="1090"/>
      <c r="D77" s="1090"/>
      <c r="E77" s="1090"/>
      <c r="F77" s="1090"/>
      <c r="G77" s="1090"/>
      <c r="H77" s="1090"/>
      <c r="I77" s="1090"/>
      <c r="J77" s="1090"/>
      <c r="K77" s="1090"/>
      <c r="L77" s="1090"/>
      <c r="M77" s="1091"/>
      <c r="O77" s="49"/>
      <c r="P77" s="49"/>
      <c r="Q77" s="49"/>
      <c r="R77" s="49"/>
      <c r="S77" s="49"/>
      <c r="T77" s="49"/>
    </row>
    <row r="78" spans="1:21" s="103" customFormat="1" ht="35.1" customHeight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61">
        <f>'DATOS %'!X123</f>
        <v>0.1</v>
      </c>
      <c r="I80" s="362">
        <f>-H80</f>
        <v>-0.1</v>
      </c>
      <c r="J80" s="1095"/>
      <c r="K80" s="1096"/>
      <c r="L80" s="1096"/>
      <c r="M80" s="1097"/>
    </row>
    <row r="81" spans="1:13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61">
        <f>H80</f>
        <v>0.1</v>
      </c>
      <c r="I81" s="362">
        <f>I80</f>
        <v>-0.1</v>
      </c>
      <c r="J81" s="1095"/>
      <c r="K81" s="1096"/>
      <c r="L81" s="1096"/>
      <c r="M81" s="1097"/>
    </row>
    <row r="82" spans="1:13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63">
        <f>H80</f>
        <v>0.1</v>
      </c>
      <c r="I82" s="364">
        <f>I80</f>
        <v>-0.1</v>
      </c>
      <c r="J82" s="1098"/>
      <c r="K82" s="1099"/>
      <c r="L82" s="1099"/>
      <c r="M82" s="1100"/>
    </row>
    <row r="83" spans="1:13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13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f>(0.02/2)/(0.006/2)</f>
        <v>3.3333333333333335</v>
      </c>
      <c r="L84" s="697"/>
      <c r="M84" s="697"/>
    </row>
    <row r="85" spans="1:13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</row>
    <row r="86" spans="1:13" s="103" customFormat="1" ht="50.1" customHeight="1" x14ac:dyDescent="0.2"/>
    <row r="87" spans="1:13" s="103" customFormat="1" ht="57.75" customHeight="1" x14ac:dyDescent="0.2">
      <c r="C87" s="109"/>
      <c r="D87" s="109"/>
      <c r="E87" s="109"/>
    </row>
    <row r="88" spans="1:13" s="103" customFormat="1" ht="35.1" customHeight="1" x14ac:dyDescent="0.2"/>
    <row r="89" spans="1:13" s="103" customFormat="1" ht="35.1" customHeight="1" x14ac:dyDescent="0.2">
      <c r="F89" s="105"/>
      <c r="G89" s="105"/>
      <c r="H89" s="105"/>
      <c r="I89" s="105"/>
      <c r="J89" s="105"/>
    </row>
    <row r="90" spans="1:13" s="103" customFormat="1" ht="35.1" customHeight="1" x14ac:dyDescent="0.2"/>
    <row r="91" spans="1:13" s="103" customFormat="1" ht="50.1" customHeight="1" x14ac:dyDescent="0.2">
      <c r="J91" s="48"/>
    </row>
    <row r="92" spans="1:13" s="103" customFormat="1" ht="55.5" customHeight="1" x14ac:dyDescent="0.2">
      <c r="J92" s="108"/>
    </row>
    <row r="93" spans="1:13" s="103" customFormat="1" ht="50.1" customHeight="1" x14ac:dyDescent="0.2">
      <c r="J93" s="108"/>
    </row>
    <row r="94" spans="1:13" s="104" customFormat="1" ht="31.5" customHeight="1" x14ac:dyDescent="0.2">
      <c r="J94" s="108"/>
    </row>
    <row r="95" spans="1:13" s="103" customFormat="1" ht="35.1" customHeight="1" x14ac:dyDescent="0.2">
      <c r="G95" s="108"/>
      <c r="H95" s="108"/>
      <c r="I95" s="108"/>
      <c r="J95" s="108"/>
    </row>
    <row r="96" spans="1:13" s="103" customFormat="1" ht="35.1" customHeight="1" x14ac:dyDescent="0.2">
      <c r="G96" s="108"/>
      <c r="H96" s="108"/>
      <c r="I96" s="108"/>
      <c r="J96" s="108"/>
    </row>
    <row r="97" spans="1:12" s="103" customFormat="1" ht="9.9499999999999993" customHeight="1" x14ac:dyDescent="0.2">
      <c r="G97" s="105"/>
      <c r="H97" s="105"/>
      <c r="I97" s="105"/>
      <c r="J97" s="105"/>
    </row>
    <row r="98" spans="1:12" s="103" customFormat="1" ht="35.1" customHeight="1" x14ac:dyDescent="0.2">
      <c r="J98" s="105"/>
      <c r="K98" s="105"/>
      <c r="L98" s="105"/>
    </row>
    <row r="99" spans="1:12" s="47" customFormat="1" ht="15" customHeight="1" x14ac:dyDescent="0.2">
      <c r="A99" s="48"/>
      <c r="G99" s="48"/>
      <c r="H99" s="48"/>
      <c r="I99" s="48"/>
      <c r="J99" s="48"/>
      <c r="K99" s="49"/>
    </row>
    <row r="100" spans="1:12" s="49" customFormat="1" ht="31.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2" s="49" customFormat="1" ht="31.5" customHeight="1" x14ac:dyDescent="0.2"/>
    <row r="102" spans="1:12" s="49" customFormat="1" ht="31.5" customHeight="1" x14ac:dyDescent="0.2"/>
    <row r="103" spans="1:12" s="49" customFormat="1" ht="52.5" customHeight="1" x14ac:dyDescent="0.2"/>
    <row r="104" spans="1:12" s="49" customFormat="1" ht="31.5" customHeight="1" x14ac:dyDescent="0.2">
      <c r="K104" s="8"/>
    </row>
    <row r="105" spans="1:12" s="49" customFormat="1" ht="31.5" customHeight="1" x14ac:dyDescent="0.2">
      <c r="K105" s="8"/>
    </row>
    <row r="106" spans="1:12" ht="31.5" customHeight="1" x14ac:dyDescent="0.2">
      <c r="G106" s="75"/>
    </row>
    <row r="107" spans="1:12" ht="51" customHeight="1" x14ac:dyDescent="0.2"/>
    <row r="109" spans="1:12" ht="31.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t="31.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t="31.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t="31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2:10" ht="31.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2:10" ht="31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2:10" ht="31.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</row>
  </sheetData>
  <sheetProtection password="CF5C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02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2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2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2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2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U115"/>
  <sheetViews>
    <sheetView showGridLines="0" view="pageBreakPreview" topLeftCell="A55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384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385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392" customFormat="1" ht="65.25" customHeight="1" thickBot="1" x14ac:dyDescent="0.25">
      <c r="A68" s="48"/>
      <c r="B68" s="48"/>
      <c r="C68" s="47"/>
      <c r="D68" s="47"/>
      <c r="E68" s="47"/>
      <c r="F68" s="47"/>
      <c r="G68" s="671" t="e">
        <f>SUM(G59,G62,G66,G67)</f>
        <v>#DIV/0!</v>
      </c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Bot="1" x14ac:dyDescent="0.25">
      <c r="A77" s="1089" t="s">
        <v>298</v>
      </c>
      <c r="B77" s="1090"/>
      <c r="C77" s="1090"/>
      <c r="D77" s="1090"/>
      <c r="E77" s="1090"/>
      <c r="F77" s="1090"/>
      <c r="G77" s="1090"/>
      <c r="H77" s="1090"/>
      <c r="I77" s="1090"/>
      <c r="J77" s="1090"/>
      <c r="K77" s="1090"/>
      <c r="L77" s="1090"/>
      <c r="M77" s="1091"/>
      <c r="O77" s="49"/>
      <c r="P77" s="49"/>
      <c r="Q77" s="49"/>
      <c r="R77" s="49"/>
      <c r="S77" s="49"/>
      <c r="T77" s="49"/>
    </row>
    <row r="78" spans="1:21" s="103" customFormat="1" ht="35.1" customHeight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%'!X124</f>
        <v>0.12</v>
      </c>
      <c r="I80" s="350">
        <f>-H80</f>
        <v>-0.12</v>
      </c>
      <c r="J80" s="1095"/>
      <c r="K80" s="1096"/>
      <c r="L80" s="1096"/>
      <c r="M80" s="1097"/>
    </row>
    <row r="81" spans="1:13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0.12</v>
      </c>
      <c r="I81" s="350">
        <f>I80</f>
        <v>-0.12</v>
      </c>
      <c r="J81" s="1095"/>
      <c r="K81" s="1096"/>
      <c r="L81" s="1096"/>
      <c r="M81" s="1097"/>
    </row>
    <row r="82" spans="1:13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0.12</v>
      </c>
      <c r="I82" s="356">
        <f>I80</f>
        <v>-0.12</v>
      </c>
      <c r="J82" s="1098"/>
      <c r="K82" s="1099"/>
      <c r="L82" s="1099"/>
      <c r="M82" s="1100"/>
    </row>
    <row r="83" spans="1:13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13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13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</row>
    <row r="86" spans="1:13" s="103" customFormat="1" ht="50.1" customHeight="1" x14ac:dyDescent="0.2"/>
    <row r="87" spans="1:13" s="103" customFormat="1" ht="57.75" customHeight="1" x14ac:dyDescent="0.2">
      <c r="C87" s="109"/>
      <c r="D87" s="109"/>
      <c r="E87" s="109"/>
    </row>
    <row r="88" spans="1:13" s="103" customFormat="1" ht="35.1" customHeight="1" x14ac:dyDescent="0.2"/>
    <row r="89" spans="1:13" s="103" customFormat="1" ht="35.1" customHeight="1" x14ac:dyDescent="0.2">
      <c r="F89" s="105"/>
      <c r="G89" s="105"/>
      <c r="H89" s="105"/>
      <c r="I89" s="105"/>
      <c r="J89" s="105"/>
    </row>
    <row r="90" spans="1:13" s="103" customFormat="1" ht="35.1" customHeight="1" x14ac:dyDescent="0.2"/>
    <row r="91" spans="1:13" s="103" customFormat="1" ht="50.1" customHeight="1" x14ac:dyDescent="0.2">
      <c r="J91" s="48"/>
    </row>
    <row r="92" spans="1:13" s="103" customFormat="1" ht="55.5" customHeight="1" x14ac:dyDescent="0.2">
      <c r="J92" s="108"/>
    </row>
    <row r="93" spans="1:13" s="103" customFormat="1" ht="50.1" customHeight="1" x14ac:dyDescent="0.2">
      <c r="J93" s="108"/>
    </row>
    <row r="94" spans="1:13" s="104" customFormat="1" ht="31.5" customHeight="1" x14ac:dyDescent="0.2">
      <c r="J94" s="108"/>
    </row>
    <row r="95" spans="1:13" s="103" customFormat="1" ht="35.1" customHeight="1" x14ac:dyDescent="0.2">
      <c r="G95" s="108"/>
      <c r="H95" s="108"/>
      <c r="I95" s="108"/>
      <c r="J95" s="108"/>
    </row>
    <row r="96" spans="1:13" s="103" customFormat="1" ht="35.1" customHeight="1" x14ac:dyDescent="0.2">
      <c r="G96" s="108"/>
      <c r="H96" s="108"/>
      <c r="I96" s="108"/>
      <c r="J96" s="108"/>
    </row>
    <row r="97" spans="1:12" s="103" customFormat="1" ht="9.9499999999999993" customHeight="1" x14ac:dyDescent="0.2">
      <c r="G97" s="105"/>
      <c r="H97" s="105"/>
      <c r="I97" s="105"/>
      <c r="J97" s="105"/>
    </row>
    <row r="98" spans="1:12" s="103" customFormat="1" ht="35.1" customHeight="1" x14ac:dyDescent="0.2">
      <c r="J98" s="105"/>
      <c r="K98" s="105"/>
      <c r="L98" s="105"/>
    </row>
    <row r="99" spans="1:12" s="47" customFormat="1" ht="15" customHeight="1" x14ac:dyDescent="0.2">
      <c r="A99" s="48"/>
      <c r="G99" s="48"/>
      <c r="H99" s="48"/>
      <c r="I99" s="48"/>
      <c r="J99" s="48"/>
      <c r="K99" s="49"/>
    </row>
    <row r="100" spans="1:12" s="49" customFormat="1" ht="31.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2" s="49" customFormat="1" ht="31.5" customHeight="1" x14ac:dyDescent="0.2"/>
    <row r="102" spans="1:12" s="49" customFormat="1" ht="31.5" customHeight="1" x14ac:dyDescent="0.2"/>
    <row r="103" spans="1:12" s="49" customFormat="1" ht="52.5" customHeight="1" x14ac:dyDescent="0.2"/>
    <row r="104" spans="1:12" s="49" customFormat="1" ht="31.5" customHeight="1" x14ac:dyDescent="0.2">
      <c r="K104" s="8"/>
    </row>
    <row r="105" spans="1:12" s="49" customFormat="1" ht="31.5" customHeight="1" x14ac:dyDescent="0.2">
      <c r="K105" s="8"/>
    </row>
    <row r="106" spans="1:12" ht="31.5" customHeight="1" x14ac:dyDescent="0.2">
      <c r="G106" s="75"/>
    </row>
    <row r="107" spans="1:12" ht="51" customHeight="1" x14ac:dyDescent="0.2"/>
    <row r="109" spans="1:12" ht="31.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t="31.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t="31.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t="31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2:10" ht="31.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2:10" ht="31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2:10" ht="31.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</row>
  </sheetData>
  <sheetProtection algorithmName="SHA-512" hashValue="qtQ0BGI5QTw30LDsg3PBAu1vbnn//HzhQZXoYUfl0s+RuMGyYt7gvYZGMq1TIT6+EHKlLBaqqDK1C6KnKIbR4A==" saltValue="j+sA/WH7Lkla3vsUxgXXug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3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3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3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3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3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U115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Bot="1" x14ac:dyDescent="0.25">
      <c r="A77" s="1089" t="s">
        <v>298</v>
      </c>
      <c r="B77" s="1090"/>
      <c r="C77" s="1090"/>
      <c r="D77" s="1090"/>
      <c r="E77" s="1090"/>
      <c r="F77" s="1090"/>
      <c r="G77" s="1090"/>
      <c r="H77" s="1090"/>
      <c r="I77" s="1090"/>
      <c r="J77" s="1090"/>
      <c r="K77" s="1090"/>
      <c r="L77" s="1090"/>
      <c r="M77" s="1091"/>
      <c r="O77" s="49"/>
      <c r="P77" s="49"/>
      <c r="Q77" s="49"/>
      <c r="R77" s="49"/>
      <c r="S77" s="49"/>
      <c r="T77" s="49"/>
    </row>
    <row r="78" spans="1:21" s="103" customFormat="1" ht="35.1" customHeight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%'!X124</f>
        <v>0.12</v>
      </c>
      <c r="I80" s="350">
        <f>-H80</f>
        <v>-0.12</v>
      </c>
      <c r="J80" s="1095"/>
      <c r="K80" s="1096"/>
      <c r="L80" s="1096"/>
      <c r="M80" s="1097"/>
    </row>
    <row r="81" spans="1:13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0.12</v>
      </c>
      <c r="I81" s="350">
        <f>I80</f>
        <v>-0.12</v>
      </c>
      <c r="J81" s="1095"/>
      <c r="K81" s="1096"/>
      <c r="L81" s="1096"/>
      <c r="M81" s="1097"/>
    </row>
    <row r="82" spans="1:13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0.12</v>
      </c>
      <c r="I82" s="356">
        <f>I80</f>
        <v>-0.12</v>
      </c>
      <c r="J82" s="1098"/>
      <c r="K82" s="1099"/>
      <c r="L82" s="1099"/>
      <c r="M82" s="1100"/>
    </row>
    <row r="83" spans="1:13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13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13" s="103" customFormat="1" ht="34.5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</row>
    <row r="86" spans="1:13" s="103" customFormat="1" ht="50.1" customHeight="1" x14ac:dyDescent="0.2"/>
    <row r="87" spans="1:13" s="103" customFormat="1" ht="57.75" customHeight="1" x14ac:dyDescent="0.2">
      <c r="C87" s="109"/>
      <c r="D87" s="109"/>
      <c r="E87" s="109"/>
    </row>
    <row r="88" spans="1:13" s="103" customFormat="1" ht="35.1" customHeight="1" x14ac:dyDescent="0.2"/>
    <row r="89" spans="1:13" s="103" customFormat="1" ht="35.1" customHeight="1" x14ac:dyDescent="0.2">
      <c r="F89" s="105"/>
      <c r="G89" s="105"/>
      <c r="H89" s="105"/>
      <c r="I89" s="105"/>
      <c r="J89" s="105"/>
    </row>
    <row r="90" spans="1:13" s="103" customFormat="1" ht="35.1" customHeight="1" x14ac:dyDescent="0.2"/>
    <row r="91" spans="1:13" s="103" customFormat="1" ht="50.1" customHeight="1" x14ac:dyDescent="0.2">
      <c r="J91" s="48"/>
    </row>
    <row r="92" spans="1:13" s="103" customFormat="1" ht="55.5" customHeight="1" x14ac:dyDescent="0.2">
      <c r="J92" s="108"/>
    </row>
    <row r="93" spans="1:13" s="103" customFormat="1" ht="50.1" customHeight="1" x14ac:dyDescent="0.2">
      <c r="J93" s="108"/>
    </row>
    <row r="94" spans="1:13" s="104" customFormat="1" ht="31.5" customHeight="1" x14ac:dyDescent="0.2">
      <c r="J94" s="108"/>
    </row>
    <row r="95" spans="1:13" s="103" customFormat="1" ht="35.1" customHeight="1" x14ac:dyDescent="0.2">
      <c r="G95" s="108"/>
      <c r="H95" s="108"/>
      <c r="I95" s="108"/>
      <c r="J95" s="108"/>
    </row>
    <row r="96" spans="1:13" s="103" customFormat="1" ht="35.1" customHeight="1" x14ac:dyDescent="0.2">
      <c r="G96" s="108"/>
      <c r="H96" s="108"/>
      <c r="I96" s="108"/>
      <c r="J96" s="108"/>
    </row>
    <row r="97" spans="1:12" s="103" customFormat="1" ht="9.9499999999999993" customHeight="1" x14ac:dyDescent="0.2">
      <c r="G97" s="105"/>
      <c r="H97" s="105"/>
      <c r="I97" s="105"/>
      <c r="J97" s="105"/>
    </row>
    <row r="98" spans="1:12" s="103" customFormat="1" ht="35.1" customHeight="1" x14ac:dyDescent="0.2">
      <c r="J98" s="105"/>
      <c r="K98" s="105"/>
      <c r="L98" s="105"/>
    </row>
    <row r="99" spans="1:12" s="47" customFormat="1" ht="15" customHeight="1" x14ac:dyDescent="0.2">
      <c r="A99" s="48"/>
      <c r="G99" s="48"/>
      <c r="H99" s="48"/>
      <c r="I99" s="48"/>
      <c r="J99" s="48"/>
      <c r="K99" s="49"/>
    </row>
    <row r="100" spans="1:12" s="49" customFormat="1" ht="31.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2" s="49" customFormat="1" ht="31.5" customHeight="1" x14ac:dyDescent="0.2"/>
    <row r="102" spans="1:12" s="49" customFormat="1" ht="31.5" customHeight="1" x14ac:dyDescent="0.2"/>
    <row r="103" spans="1:12" s="49" customFormat="1" ht="52.5" customHeight="1" x14ac:dyDescent="0.2"/>
    <row r="104" spans="1:12" s="49" customFormat="1" ht="31.5" customHeight="1" x14ac:dyDescent="0.2">
      <c r="K104" s="8"/>
    </row>
    <row r="105" spans="1:12" s="49" customFormat="1" ht="31.5" customHeight="1" x14ac:dyDescent="0.2">
      <c r="K105" s="8"/>
    </row>
    <row r="106" spans="1:12" ht="31.5" customHeight="1" x14ac:dyDescent="0.2">
      <c r="G106" s="75"/>
    </row>
    <row r="107" spans="1:12" ht="51" customHeight="1" x14ac:dyDescent="0.2"/>
    <row r="109" spans="1:12" ht="31.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t="31.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t="31.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t="31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2:10" ht="31.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2:10" ht="31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2:10" ht="31.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</row>
  </sheetData>
  <sheetProtection algorithmName="SHA-512" hashValue="QCczhclS+/K9HX5Deo9RecOxEd6D+3EQaerEqxO4RRNG/FH9m7PAPhWGXLXZxctb6v4w5VgV4q89zDEaD/u1WQ==" saltValue="zHrG30y3Ut4xaLSzxDZncQ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04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4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4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4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4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U115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275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Bot="1" x14ac:dyDescent="0.25">
      <c r="A77" s="1089" t="s">
        <v>298</v>
      </c>
      <c r="B77" s="1090"/>
      <c r="C77" s="1090"/>
      <c r="D77" s="1090"/>
      <c r="E77" s="1090"/>
      <c r="F77" s="1090"/>
      <c r="G77" s="1090"/>
      <c r="H77" s="1090"/>
      <c r="I77" s="1090"/>
      <c r="J77" s="1090"/>
      <c r="K77" s="1090"/>
      <c r="L77" s="1090"/>
      <c r="M77" s="1091"/>
      <c r="O77" s="49"/>
      <c r="P77" s="49"/>
      <c r="Q77" s="49"/>
      <c r="R77" s="49"/>
      <c r="S77" s="49"/>
      <c r="T77" s="49"/>
    </row>
    <row r="78" spans="1:21" s="103" customFormat="1" ht="35.1" customHeight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%'!X126</f>
        <v>0.16</v>
      </c>
      <c r="I80" s="350">
        <f>-H80</f>
        <v>-0.16</v>
      </c>
      <c r="J80" s="1095"/>
      <c r="K80" s="1096"/>
      <c r="L80" s="1096"/>
      <c r="M80" s="1097"/>
    </row>
    <row r="81" spans="1:13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0.16</v>
      </c>
      <c r="I81" s="350">
        <f>I80</f>
        <v>-0.16</v>
      </c>
      <c r="J81" s="1095"/>
      <c r="K81" s="1096"/>
      <c r="L81" s="1096"/>
      <c r="M81" s="1097"/>
    </row>
    <row r="82" spans="1:13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0.16</v>
      </c>
      <c r="I82" s="356">
        <f>I80</f>
        <v>-0.16</v>
      </c>
      <c r="J82" s="1098"/>
      <c r="K82" s="1099"/>
      <c r="L82" s="1099"/>
      <c r="M82" s="1100"/>
    </row>
    <row r="83" spans="1:13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13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13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</row>
    <row r="86" spans="1:13" s="103" customFormat="1" ht="50.1" customHeight="1" x14ac:dyDescent="0.2"/>
    <row r="87" spans="1:13" s="103" customFormat="1" ht="57.75" customHeight="1" x14ac:dyDescent="0.2">
      <c r="C87" s="109"/>
      <c r="D87" s="109"/>
      <c r="E87" s="109"/>
    </row>
    <row r="88" spans="1:13" s="103" customFormat="1" ht="35.1" customHeight="1" x14ac:dyDescent="0.2"/>
    <row r="89" spans="1:13" s="103" customFormat="1" ht="35.1" customHeight="1" x14ac:dyDescent="0.2">
      <c r="F89" s="105"/>
      <c r="G89" s="105"/>
      <c r="H89" s="105"/>
      <c r="I89" s="105"/>
      <c r="J89" s="105"/>
    </row>
    <row r="90" spans="1:13" s="103" customFormat="1" ht="35.1" customHeight="1" x14ac:dyDescent="0.2"/>
    <row r="91" spans="1:13" s="103" customFormat="1" ht="50.1" customHeight="1" x14ac:dyDescent="0.2">
      <c r="J91" s="48"/>
    </row>
    <row r="92" spans="1:13" s="103" customFormat="1" ht="55.5" customHeight="1" x14ac:dyDescent="0.2">
      <c r="J92" s="108"/>
    </row>
    <row r="93" spans="1:13" s="103" customFormat="1" ht="50.1" customHeight="1" x14ac:dyDescent="0.2">
      <c r="J93" s="108"/>
    </row>
    <row r="94" spans="1:13" s="104" customFormat="1" ht="31.5" customHeight="1" x14ac:dyDescent="0.2">
      <c r="J94" s="108"/>
    </row>
    <row r="95" spans="1:13" s="103" customFormat="1" ht="35.1" customHeight="1" x14ac:dyDescent="0.2">
      <c r="G95" s="108"/>
      <c r="H95" s="108"/>
      <c r="I95" s="108"/>
      <c r="J95" s="108"/>
    </row>
    <row r="96" spans="1:13" s="103" customFormat="1" ht="35.1" customHeight="1" x14ac:dyDescent="0.2">
      <c r="G96" s="108"/>
      <c r="H96" s="108"/>
      <c r="I96" s="108"/>
      <c r="J96" s="108"/>
    </row>
    <row r="97" spans="1:12" s="103" customFormat="1" ht="9.9499999999999993" customHeight="1" x14ac:dyDescent="0.2">
      <c r="G97" s="105"/>
      <c r="H97" s="105"/>
      <c r="I97" s="105"/>
      <c r="J97" s="105"/>
    </row>
    <row r="98" spans="1:12" s="103" customFormat="1" ht="35.1" customHeight="1" x14ac:dyDescent="0.2">
      <c r="J98" s="105"/>
      <c r="K98" s="105"/>
      <c r="L98" s="105"/>
    </row>
    <row r="99" spans="1:12" s="47" customFormat="1" ht="15" customHeight="1" x14ac:dyDescent="0.2">
      <c r="A99" s="48"/>
      <c r="G99" s="48"/>
      <c r="H99" s="48"/>
      <c r="I99" s="48"/>
      <c r="J99" s="48"/>
      <c r="K99" s="49"/>
    </row>
    <row r="100" spans="1:12" s="49" customFormat="1" ht="31.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2" s="49" customFormat="1" ht="31.5" customHeight="1" x14ac:dyDescent="0.2"/>
    <row r="102" spans="1:12" s="49" customFormat="1" ht="31.5" customHeight="1" x14ac:dyDescent="0.2"/>
    <row r="103" spans="1:12" s="49" customFormat="1" ht="52.5" customHeight="1" x14ac:dyDescent="0.2"/>
    <row r="104" spans="1:12" s="49" customFormat="1" ht="31.5" customHeight="1" x14ac:dyDescent="0.2">
      <c r="K104" s="8"/>
    </row>
    <row r="105" spans="1:12" s="49" customFormat="1" ht="31.5" customHeight="1" x14ac:dyDescent="0.2">
      <c r="K105" s="8"/>
    </row>
    <row r="106" spans="1:12" ht="31.5" customHeight="1" x14ac:dyDescent="0.2">
      <c r="G106" s="75"/>
    </row>
    <row r="107" spans="1:12" ht="51" customHeight="1" x14ac:dyDescent="0.2"/>
    <row r="109" spans="1:12" ht="31.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t="31.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t="31.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t="31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2:10" ht="31.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2:10" ht="31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2:10" ht="31.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</row>
  </sheetData>
  <sheetProtection algorithmName="SHA-512" hashValue="nocqj1UPZYNtrKHxq/Kqn46nfIYqf9gd/iRsnN1Ah8Ejuz/uCB1xo0O9aD1op2JPU5DKgvvzjCmOcWiOU3K6EQ==" saltValue="u88gWh7qaYXmwnASvPAkrQ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5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5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5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5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5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U115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322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Bot="1" x14ac:dyDescent="0.25">
      <c r="A77" s="1089" t="s">
        <v>298</v>
      </c>
      <c r="B77" s="1090"/>
      <c r="C77" s="1090"/>
      <c r="D77" s="1090"/>
      <c r="E77" s="1090"/>
      <c r="F77" s="1090"/>
      <c r="G77" s="1090"/>
      <c r="H77" s="1090"/>
      <c r="I77" s="1090"/>
      <c r="J77" s="1090"/>
      <c r="K77" s="1090"/>
      <c r="L77" s="1090"/>
      <c r="M77" s="1091"/>
      <c r="O77" s="49"/>
      <c r="P77" s="49"/>
      <c r="Q77" s="49"/>
      <c r="R77" s="49"/>
      <c r="S77" s="49"/>
      <c r="T77" s="49"/>
    </row>
    <row r="78" spans="1:21" s="103" customFormat="1" ht="35.1" customHeight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61">
        <f>'DATOS %'!X127</f>
        <v>0.2</v>
      </c>
      <c r="I80" s="362">
        <f>-H80</f>
        <v>-0.2</v>
      </c>
      <c r="J80" s="1095"/>
      <c r="K80" s="1096"/>
      <c r="L80" s="1096"/>
      <c r="M80" s="1097"/>
    </row>
    <row r="81" spans="1:13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61">
        <f>H80</f>
        <v>0.2</v>
      </c>
      <c r="I81" s="362">
        <f>I80</f>
        <v>-0.2</v>
      </c>
      <c r="J81" s="1095"/>
      <c r="K81" s="1096"/>
      <c r="L81" s="1096"/>
      <c r="M81" s="1097"/>
    </row>
    <row r="82" spans="1:13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63">
        <f>H80</f>
        <v>0.2</v>
      </c>
      <c r="I82" s="364">
        <f>I80</f>
        <v>-0.2</v>
      </c>
      <c r="J82" s="1098"/>
      <c r="K82" s="1099"/>
      <c r="L82" s="1099"/>
      <c r="M82" s="1100"/>
    </row>
    <row r="83" spans="1:13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13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13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</row>
    <row r="86" spans="1:13" s="103" customFormat="1" ht="50.1" customHeight="1" x14ac:dyDescent="0.2"/>
    <row r="87" spans="1:13" s="103" customFormat="1" ht="57.75" customHeight="1" x14ac:dyDescent="0.2">
      <c r="C87" s="109"/>
      <c r="D87" s="109"/>
      <c r="E87" s="109"/>
    </row>
    <row r="88" spans="1:13" s="103" customFormat="1" ht="35.1" customHeight="1" x14ac:dyDescent="0.2"/>
    <row r="89" spans="1:13" s="103" customFormat="1" ht="35.1" customHeight="1" x14ac:dyDescent="0.2">
      <c r="F89" s="105"/>
      <c r="G89" s="105"/>
      <c r="H89" s="105"/>
      <c r="I89" s="105"/>
      <c r="J89" s="105"/>
    </row>
    <row r="90" spans="1:13" s="103" customFormat="1" ht="35.1" customHeight="1" x14ac:dyDescent="0.2"/>
    <row r="91" spans="1:13" s="103" customFormat="1" ht="50.1" customHeight="1" x14ac:dyDescent="0.2">
      <c r="J91" s="48"/>
    </row>
    <row r="92" spans="1:13" s="103" customFormat="1" ht="55.5" customHeight="1" x14ac:dyDescent="0.2">
      <c r="J92" s="108"/>
    </row>
    <row r="93" spans="1:13" s="103" customFormat="1" ht="50.1" customHeight="1" x14ac:dyDescent="0.2">
      <c r="J93" s="108"/>
    </row>
    <row r="94" spans="1:13" s="104" customFormat="1" ht="31.5" customHeight="1" x14ac:dyDescent="0.2">
      <c r="J94" s="108"/>
    </row>
    <row r="95" spans="1:13" s="103" customFormat="1" ht="35.1" customHeight="1" x14ac:dyDescent="0.2">
      <c r="G95" s="108"/>
      <c r="H95" s="108"/>
      <c r="I95" s="108"/>
      <c r="J95" s="108"/>
    </row>
    <row r="96" spans="1:13" s="103" customFormat="1" ht="35.1" customHeight="1" x14ac:dyDescent="0.2">
      <c r="G96" s="108"/>
      <c r="H96" s="108"/>
      <c r="I96" s="108"/>
      <c r="J96" s="108"/>
    </row>
    <row r="97" spans="1:12" s="103" customFormat="1" ht="9.9499999999999993" customHeight="1" x14ac:dyDescent="0.2">
      <c r="G97" s="105"/>
      <c r="H97" s="105"/>
      <c r="I97" s="105"/>
      <c r="J97" s="105"/>
    </row>
    <row r="98" spans="1:12" s="103" customFormat="1" ht="35.1" customHeight="1" x14ac:dyDescent="0.2">
      <c r="J98" s="105"/>
      <c r="K98" s="105"/>
      <c r="L98" s="105"/>
    </row>
    <row r="99" spans="1:12" s="47" customFormat="1" ht="15" customHeight="1" x14ac:dyDescent="0.2">
      <c r="A99" s="48"/>
      <c r="G99" s="48"/>
      <c r="H99" s="48"/>
      <c r="I99" s="48"/>
      <c r="J99" s="48"/>
      <c r="K99" s="49"/>
    </row>
    <row r="100" spans="1:12" s="49" customFormat="1" ht="31.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2" s="49" customFormat="1" ht="31.5" customHeight="1" x14ac:dyDescent="0.2"/>
    <row r="102" spans="1:12" s="49" customFormat="1" ht="31.5" customHeight="1" x14ac:dyDescent="0.2"/>
    <row r="103" spans="1:12" s="49" customFormat="1" ht="52.5" customHeight="1" x14ac:dyDescent="0.2"/>
    <row r="104" spans="1:12" s="49" customFormat="1" ht="31.5" customHeight="1" x14ac:dyDescent="0.2">
      <c r="K104" s="8"/>
    </row>
    <row r="105" spans="1:12" s="49" customFormat="1" ht="31.5" customHeight="1" x14ac:dyDescent="0.2">
      <c r="K105" s="8"/>
    </row>
    <row r="106" spans="1:12" ht="31.5" customHeight="1" x14ac:dyDescent="0.2">
      <c r="G106" s="75"/>
    </row>
    <row r="107" spans="1:12" ht="51" customHeight="1" x14ac:dyDescent="0.2"/>
    <row r="109" spans="1:12" ht="31.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t="31.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t="31.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t="31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2:10" ht="31.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2:10" ht="31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2:10" ht="31.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</row>
  </sheetData>
  <sheetProtection algorithmName="SHA-512" hashValue="gGy4BSXpk1dFteyDCvfmD/gxo9eu26EFRRQKbJf/P51uXTIbRT9Ejhub4fic+M8EWABeBDHHEbESW8ISGkCTTg==" saltValue="JMLDILz82aOvIKPELzGEIg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06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6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6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6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600-000005000000}">
          <x14:formula1>
            <xm:f>'DATOS %'!$B$6:$B$28</xm:f>
          </x14:formula1>
          <xm:sqref>G3:H4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U115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Bot="1" x14ac:dyDescent="0.25">
      <c r="A77" s="1089" t="s">
        <v>298</v>
      </c>
      <c r="B77" s="1090"/>
      <c r="C77" s="1090"/>
      <c r="D77" s="1090"/>
      <c r="E77" s="1090"/>
      <c r="F77" s="1090"/>
      <c r="G77" s="1090"/>
      <c r="H77" s="1090"/>
      <c r="I77" s="1090"/>
      <c r="J77" s="1090"/>
      <c r="K77" s="1090"/>
      <c r="L77" s="1090"/>
      <c r="M77" s="1091"/>
      <c r="O77" s="49"/>
      <c r="P77" s="49"/>
      <c r="Q77" s="49"/>
      <c r="R77" s="49"/>
      <c r="S77" s="49"/>
      <c r="T77" s="49"/>
    </row>
    <row r="78" spans="1:21" s="103" customFormat="1" ht="35.1" customHeight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%'!X128</f>
        <v>0.25</v>
      </c>
      <c r="I80" s="350">
        <f>-H80</f>
        <v>-0.25</v>
      </c>
      <c r="J80" s="1095"/>
      <c r="K80" s="1096"/>
      <c r="L80" s="1096"/>
      <c r="M80" s="1097"/>
    </row>
    <row r="81" spans="1:13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0.25</v>
      </c>
      <c r="I81" s="350">
        <f>I80</f>
        <v>-0.25</v>
      </c>
      <c r="J81" s="1095"/>
      <c r="K81" s="1096"/>
      <c r="L81" s="1096"/>
      <c r="M81" s="1097"/>
    </row>
    <row r="82" spans="1:13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0.25</v>
      </c>
      <c r="I82" s="356">
        <f>I80</f>
        <v>-0.25</v>
      </c>
      <c r="J82" s="1098"/>
      <c r="K82" s="1099"/>
      <c r="L82" s="1099"/>
      <c r="M82" s="1100"/>
    </row>
    <row r="83" spans="1:13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13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13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</row>
    <row r="86" spans="1:13" s="103" customFormat="1" ht="50.1" customHeight="1" x14ac:dyDescent="0.2"/>
    <row r="87" spans="1:13" s="103" customFormat="1" ht="57.75" customHeight="1" x14ac:dyDescent="0.2">
      <c r="C87" s="109"/>
      <c r="D87" s="109"/>
      <c r="E87" s="109"/>
    </row>
    <row r="88" spans="1:13" s="103" customFormat="1" ht="35.1" customHeight="1" x14ac:dyDescent="0.2"/>
    <row r="89" spans="1:13" s="103" customFormat="1" ht="35.1" customHeight="1" x14ac:dyDescent="0.2">
      <c r="F89" s="105"/>
      <c r="G89" s="105"/>
      <c r="H89" s="105"/>
      <c r="I89" s="105"/>
      <c r="J89" s="105"/>
    </row>
    <row r="90" spans="1:13" s="103" customFormat="1" ht="35.1" customHeight="1" x14ac:dyDescent="0.2"/>
    <row r="91" spans="1:13" s="103" customFormat="1" ht="50.1" customHeight="1" x14ac:dyDescent="0.2">
      <c r="J91" s="48"/>
    </row>
    <row r="92" spans="1:13" s="103" customFormat="1" ht="55.5" customHeight="1" x14ac:dyDescent="0.2">
      <c r="J92" s="108"/>
    </row>
    <row r="93" spans="1:13" s="103" customFormat="1" ht="50.1" customHeight="1" x14ac:dyDescent="0.2">
      <c r="J93" s="108"/>
    </row>
    <row r="94" spans="1:13" s="104" customFormat="1" ht="31.5" customHeight="1" x14ac:dyDescent="0.2">
      <c r="J94" s="108"/>
    </row>
    <row r="95" spans="1:13" s="103" customFormat="1" ht="35.1" customHeight="1" x14ac:dyDescent="0.2">
      <c r="G95" s="108"/>
      <c r="H95" s="108"/>
      <c r="I95" s="108"/>
      <c r="J95" s="108"/>
    </row>
    <row r="96" spans="1:13" s="103" customFormat="1" ht="35.1" customHeight="1" x14ac:dyDescent="0.2">
      <c r="G96" s="108"/>
      <c r="H96" s="108"/>
      <c r="I96" s="108"/>
      <c r="J96" s="108"/>
    </row>
    <row r="97" spans="1:12" s="103" customFormat="1" ht="9.9499999999999993" customHeight="1" x14ac:dyDescent="0.2">
      <c r="G97" s="105"/>
      <c r="H97" s="105"/>
      <c r="I97" s="105"/>
      <c r="J97" s="105"/>
    </row>
    <row r="98" spans="1:12" s="103" customFormat="1" ht="35.1" customHeight="1" x14ac:dyDescent="0.2">
      <c r="J98" s="105"/>
      <c r="K98" s="105"/>
      <c r="L98" s="105"/>
    </row>
    <row r="99" spans="1:12" s="47" customFormat="1" ht="15" customHeight="1" x14ac:dyDescent="0.2">
      <c r="A99" s="48"/>
      <c r="G99" s="48"/>
      <c r="H99" s="48"/>
      <c r="I99" s="48"/>
      <c r="J99" s="48"/>
      <c r="K99" s="49"/>
    </row>
    <row r="100" spans="1:12" s="49" customFormat="1" ht="31.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2" s="49" customFormat="1" ht="31.5" customHeight="1" x14ac:dyDescent="0.2"/>
    <row r="102" spans="1:12" s="49" customFormat="1" ht="31.5" customHeight="1" x14ac:dyDescent="0.2"/>
    <row r="103" spans="1:12" s="49" customFormat="1" ht="52.5" customHeight="1" x14ac:dyDescent="0.2"/>
    <row r="104" spans="1:12" s="49" customFormat="1" ht="31.5" customHeight="1" x14ac:dyDescent="0.2">
      <c r="K104" s="8"/>
    </row>
    <row r="105" spans="1:12" s="49" customFormat="1" ht="31.5" customHeight="1" x14ac:dyDescent="0.2">
      <c r="K105" s="8"/>
    </row>
    <row r="106" spans="1:12" ht="31.5" customHeight="1" x14ac:dyDescent="0.2">
      <c r="G106" s="75"/>
    </row>
    <row r="107" spans="1:12" ht="51" customHeight="1" x14ac:dyDescent="0.2"/>
    <row r="109" spans="1:12" ht="31.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t="31.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t="31.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t="31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2:10" ht="31.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2:10" ht="31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2:10" ht="31.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</row>
  </sheetData>
  <sheetProtection algorithmName="SHA-512" hashValue="VAp+ilQ1G70IJsAyoCzdi/TUn+req2ieQcRQFs8Ft0Fd47UgDyOZq3fcWiLbpFYncvMiqTux+VxIprIBd2EzzA==" saltValue="5Ge5MLSeL6boyPMVXgfQ/g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700-000000000000}">
          <x14:formula1>
            <xm:f>'DATOS %'!$B$6:$B$28</xm:f>
          </x14:formula1>
          <xm:sqref>G3:H4</xm:sqref>
        </x14:dataValidation>
        <x14:dataValidation type="list" allowBlank="1" showInputMessage="1" showErrorMessage="1" xr:uid="{00000000-0002-0000-0700-000001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700-000002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700-000003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700-000004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700-000005000000}">
          <x14:formula1>
            <xm:f>'DATOS %'!$V$150:$V$154</xm:f>
          </x14:formula1>
          <xm:sqref>H26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U115"/>
  <sheetViews>
    <sheetView showGridLines="0" view="pageBreakPreview" zoomScale="80" zoomScaleNormal="60" zoomScaleSheetLayoutView="80" workbookViewId="0">
      <selection activeCell="E6" sqref="E6"/>
    </sheetView>
  </sheetViews>
  <sheetFormatPr baseColWidth="10" defaultColWidth="11.42578125" defaultRowHeight="31.5" customHeight="1" x14ac:dyDescent="0.2"/>
  <cols>
    <col min="1" max="1" width="14.7109375" style="36" customWidth="1"/>
    <col min="2" max="2" width="12" style="36" customWidth="1"/>
    <col min="3" max="3" width="15.7109375" style="36" customWidth="1"/>
    <col min="4" max="4" width="17" style="36" customWidth="1"/>
    <col min="5" max="5" width="15.5703125" style="36" customWidth="1"/>
    <col min="6" max="6" width="18.5703125" style="36" customWidth="1"/>
    <col min="7" max="7" width="15.7109375" style="36" customWidth="1"/>
    <col min="8" max="8" width="24.42578125" style="36" bestFit="1" customWidth="1"/>
    <col min="9" max="9" width="13.85546875" style="36" bestFit="1" customWidth="1"/>
    <col min="10" max="10" width="13.7109375" style="36" customWidth="1"/>
    <col min="11" max="19" width="11.42578125" style="8"/>
    <col min="20" max="20" width="15.85546875" style="8" bestFit="1" customWidth="1"/>
    <col min="21" max="21" width="14.42578125" style="8" bestFit="1" customWidth="1"/>
    <col min="22" max="16384" width="11.42578125" style="8"/>
  </cols>
  <sheetData>
    <row r="1" spans="1:16" ht="47.25" customHeight="1" thickBot="1" x14ac:dyDescent="0.25">
      <c r="A1" s="869"/>
      <c r="B1" s="870"/>
      <c r="C1" s="871" t="s">
        <v>288</v>
      </c>
      <c r="D1" s="872"/>
      <c r="E1" s="872"/>
      <c r="F1" s="872"/>
      <c r="G1" s="872"/>
      <c r="H1" s="872"/>
      <c r="I1" s="872"/>
      <c r="J1" s="872"/>
      <c r="K1" s="872"/>
      <c r="L1" s="872"/>
      <c r="M1" s="873"/>
      <c r="N1" s="7"/>
      <c r="O1" s="7"/>
      <c r="P1" s="7"/>
    </row>
    <row r="2" spans="1:16" s="11" customFormat="1" ht="9.75" customHeight="1" thickBot="1" x14ac:dyDescent="0.25">
      <c r="A2" s="9"/>
      <c r="B2" s="9"/>
      <c r="C2" s="10"/>
      <c r="D2" s="10"/>
      <c r="E2" s="10"/>
      <c r="F2" s="10"/>
      <c r="G2" s="10"/>
      <c r="H2" s="10"/>
      <c r="K2" s="12"/>
      <c r="M2" s="7"/>
    </row>
    <row r="3" spans="1:16" s="12" customFormat="1" ht="35.25" customHeight="1" thickBot="1" x14ac:dyDescent="0.25">
      <c r="A3" s="13" t="s">
        <v>296</v>
      </c>
      <c r="B3" s="14" t="s">
        <v>289</v>
      </c>
      <c r="C3" s="15" t="s">
        <v>214</v>
      </c>
      <c r="D3" s="15" t="s">
        <v>290</v>
      </c>
      <c r="E3" s="15" t="s">
        <v>291</v>
      </c>
      <c r="F3" s="16" t="s">
        <v>292</v>
      </c>
      <c r="G3" s="874"/>
      <c r="H3" s="875"/>
      <c r="K3" s="11"/>
      <c r="M3" s="7"/>
    </row>
    <row r="4" spans="1:16" s="11" customFormat="1" ht="32.25" customHeight="1" thickBot="1" x14ac:dyDescent="0.25">
      <c r="A4" s="17" t="e">
        <f>VLOOKUP($G$3,'DATOS %'!B6:J28,2,FALSE)</f>
        <v>#N/A</v>
      </c>
      <c r="B4" s="246" t="e">
        <f>VLOOKUP($G$3,'DATOS %'!$B$6:$J$28,3,FALSE)</f>
        <v>#N/A</v>
      </c>
      <c r="C4" s="18" t="e">
        <f>VLOOKUP($G$3,'DATOS %'!$B$6:$J$28,4,FALSE)</f>
        <v>#N/A</v>
      </c>
      <c r="D4" s="18" t="e">
        <f>VLOOKUP($G$3,'DATOS %'!$B$6:$J$28,5,FALSE)</f>
        <v>#N/A</v>
      </c>
      <c r="E4" s="246" t="e">
        <f>VLOOKUP($G$3,'DATOS %'!$B$6:$J$28,6,FALSE)</f>
        <v>#N/A</v>
      </c>
      <c r="F4" s="317" t="e">
        <f>VLOOKUP($G$3,'DATOS %'!$B$6:$J$28,7,FALSE)</f>
        <v>#N/A</v>
      </c>
      <c r="G4" s="876"/>
      <c r="H4" s="877"/>
      <c r="K4" s="8"/>
      <c r="L4" s="19"/>
      <c r="M4" s="19"/>
    </row>
    <row r="5" spans="1:16" s="21" customFormat="1" ht="6.75" customHeight="1" thickBot="1" x14ac:dyDescent="0.25">
      <c r="A5" s="20"/>
      <c r="B5" s="20"/>
      <c r="C5" s="20"/>
      <c r="F5" s="20"/>
      <c r="G5" s="20"/>
      <c r="H5" s="20"/>
      <c r="K5" s="8"/>
    </row>
    <row r="6" spans="1:16" ht="31.5" customHeight="1" thickBot="1" x14ac:dyDescent="0.25">
      <c r="A6" s="866" t="s">
        <v>11</v>
      </c>
      <c r="B6" s="867"/>
      <c r="C6" s="867"/>
      <c r="D6" s="868"/>
      <c r="E6" s="4"/>
      <c r="F6" s="866" t="s">
        <v>12</v>
      </c>
      <c r="G6" s="867"/>
      <c r="H6" s="867"/>
      <c r="I6" s="868"/>
      <c r="J6" s="735">
        <f>G3</f>
        <v>0</v>
      </c>
    </row>
    <row r="7" spans="1:16" ht="31.5" customHeight="1" x14ac:dyDescent="0.2">
      <c r="A7" s="22" t="s">
        <v>13</v>
      </c>
      <c r="B7" s="23" t="e">
        <f>VLOOKUP($E$6,'DATOS %'!N10:AA100,2,FALSE)</f>
        <v>#N/A</v>
      </c>
      <c r="C7" s="24" t="s">
        <v>8</v>
      </c>
      <c r="D7" s="25" t="e">
        <f>VLOOKUP($E$6,'DATOS %'!N10:AA100,3,FALSE)</f>
        <v>#N/A</v>
      </c>
      <c r="E7" s="26"/>
      <c r="F7" s="22" t="s">
        <v>13</v>
      </c>
      <c r="G7" s="25" t="e">
        <f>VLOOKUP($J$6,'DATOS %'!B36:I58,2,FALSE)</f>
        <v>#N/A</v>
      </c>
      <c r="H7" s="27" t="s">
        <v>8</v>
      </c>
      <c r="I7" s="25" t="e">
        <f>VLOOKUP($J$6,'DATOS %'!B36:I58,3,FALSE)</f>
        <v>#N/A</v>
      </c>
      <c r="J7" s="28"/>
    </row>
    <row r="8" spans="1:16" ht="31.5" customHeight="1" x14ac:dyDescent="0.2">
      <c r="A8" s="29" t="s">
        <v>14</v>
      </c>
      <c r="B8" s="30" t="e">
        <f>VLOOKUP($E$6,'DATOS %'!N10:AA100,4,FALSE)</f>
        <v>#N/A</v>
      </c>
      <c r="C8" s="31" t="s">
        <v>15</v>
      </c>
      <c r="D8" s="32" t="e">
        <f>VLOOKUP($E$6,'DATOS %'!N10:AA100,5,FALSE)</f>
        <v>#N/A</v>
      </c>
      <c r="E8" s="26"/>
      <c r="F8" s="29" t="s">
        <v>14</v>
      </c>
      <c r="G8" s="30" t="e">
        <f>VLOOKUP($J$6,'DATOS %'!B36:I58,4,FALSE)</f>
        <v>#N/A</v>
      </c>
      <c r="H8" s="31" t="s">
        <v>15</v>
      </c>
      <c r="I8" s="282" t="e">
        <f>VLOOKUP($J$6,'DATOS %'!B36:I58,5,FALSE)</f>
        <v>#N/A</v>
      </c>
      <c r="J8" s="28"/>
    </row>
    <row r="9" spans="1:16" ht="31.5" customHeight="1" x14ac:dyDescent="0.2">
      <c r="A9" s="33" t="s">
        <v>16</v>
      </c>
      <c r="B9" s="30" t="e">
        <f>VLOOKUP($E$6,'DATOS %'!N10:AA100,6,FALSE)</f>
        <v>#N/A</v>
      </c>
      <c r="C9" s="34" t="s">
        <v>10</v>
      </c>
      <c r="D9" s="35" t="e">
        <f>VLOOKUP($E$6,'DATOS %'!N10:AA100,7,FALSE)</f>
        <v>#N/A</v>
      </c>
      <c r="F9" s="843" t="s">
        <v>50</v>
      </c>
      <c r="G9" s="844"/>
      <c r="H9" s="30" t="e">
        <f>VLOOKUP($J$6,'DATOS %'!B36:I58,6,FALSE)</f>
        <v>#N/A</v>
      </c>
      <c r="I9" s="37" t="s">
        <v>1</v>
      </c>
      <c r="J9" s="28"/>
      <c r="K9" s="233"/>
    </row>
    <row r="10" spans="1:16" s="38" customFormat="1" ht="31.5" customHeight="1" x14ac:dyDescent="0.25">
      <c r="A10" s="843" t="s">
        <v>51</v>
      </c>
      <c r="B10" s="844"/>
      <c r="C10" s="257" t="e">
        <f>VLOOKUP($E$6,'DATOS %'!N10:AA100,8,FALSE)</f>
        <v>#N/A</v>
      </c>
      <c r="D10" s="37" t="s">
        <v>1</v>
      </c>
      <c r="F10" s="843" t="s">
        <v>52</v>
      </c>
      <c r="G10" s="844"/>
      <c r="H10" s="247" t="e">
        <f>VLOOKUP($J$6,'DATOS %'!B36:I58,7,FALSE)</f>
        <v>#N/A</v>
      </c>
      <c r="I10" s="37" t="s">
        <v>64</v>
      </c>
      <c r="J10" s="39"/>
    </row>
    <row r="11" spans="1:16" s="38" customFormat="1" ht="31.5" customHeight="1" thickBot="1" x14ac:dyDescent="0.3">
      <c r="A11" s="843" t="s">
        <v>53</v>
      </c>
      <c r="B11" s="844"/>
      <c r="C11" s="30" t="e">
        <f>VLOOKUP($E$6,'DATOS %'!N10:AA100,9,FALSE)</f>
        <v>#N/A</v>
      </c>
      <c r="D11" s="37" t="s">
        <v>3</v>
      </c>
      <c r="E11" s="40"/>
      <c r="F11" s="878" t="s">
        <v>54</v>
      </c>
      <c r="G11" s="879"/>
      <c r="H11" s="41" t="e">
        <f>VLOOKUP($J$6,'DATOS %'!B36:I58,8,FALSE)</f>
        <v>#N/A</v>
      </c>
      <c r="I11" s="42" t="s">
        <v>64</v>
      </c>
      <c r="J11" s="39"/>
    </row>
    <row r="12" spans="1:16" s="38" customFormat="1" ht="31.5" customHeight="1" thickBot="1" x14ac:dyDescent="0.3">
      <c r="A12" s="843" t="s">
        <v>55</v>
      </c>
      <c r="B12" s="844"/>
      <c r="C12" s="30" t="e">
        <f>VLOOKUP($E$6,'DATOS %'!N10:AA100,10,FALSE)</f>
        <v>#N/A</v>
      </c>
      <c r="D12" s="37" t="s">
        <v>3</v>
      </c>
      <c r="E12" s="39"/>
      <c r="F12" s="39"/>
      <c r="G12" s="39"/>
      <c r="H12" s="39"/>
    </row>
    <row r="13" spans="1:16" s="38" customFormat="1" ht="31.5" customHeight="1" thickBot="1" x14ac:dyDescent="0.3">
      <c r="A13" s="843" t="s">
        <v>56</v>
      </c>
      <c r="B13" s="844"/>
      <c r="C13" s="247" t="e">
        <f>VLOOKUP($E$6,'DATOS %'!N10:AA100,11,FALSE)</f>
        <v>#N/A</v>
      </c>
      <c r="D13" s="37" t="s">
        <v>64</v>
      </c>
      <c r="E13" s="39"/>
      <c r="F13" s="866" t="s">
        <v>18</v>
      </c>
      <c r="G13" s="867"/>
      <c r="H13" s="867"/>
      <c r="I13" s="868"/>
      <c r="J13" s="5"/>
    </row>
    <row r="14" spans="1:16" s="38" customFormat="1" ht="31.5" customHeight="1" x14ac:dyDescent="0.2">
      <c r="A14" s="843" t="s">
        <v>274</v>
      </c>
      <c r="B14" s="844"/>
      <c r="C14" s="30" t="e">
        <f>VLOOKUP($E$6,'DATOS %'!N10:AA100,12,FALSE)</f>
        <v>#N/A</v>
      </c>
      <c r="D14" s="37" t="s">
        <v>64</v>
      </c>
      <c r="E14" s="39"/>
      <c r="F14" s="22" t="s">
        <v>8</v>
      </c>
      <c r="G14" s="23" t="e">
        <f>VLOOKUP($J$13,'DATOS %'!$V$108:$Y$115,2,FALSE)</f>
        <v>#N/A</v>
      </c>
      <c r="H14" s="27" t="s">
        <v>14</v>
      </c>
      <c r="I14" s="23" t="e">
        <f>VLOOKUP($J$13,'DATOS %'!$V$108:$Z$115,3,FALSE)</f>
        <v>#N/A</v>
      </c>
      <c r="J14" s="43"/>
      <c r="K14" s="8"/>
    </row>
    <row r="15" spans="1:16" ht="31.5" customHeight="1" thickBot="1" x14ac:dyDescent="0.25">
      <c r="A15" s="845" t="s">
        <v>57</v>
      </c>
      <c r="B15" s="846"/>
      <c r="C15" s="30" t="e">
        <f>VLOOKUP($E$6,'DATOS %'!N10:AA100,13,FALSE)</f>
        <v>#N/A</v>
      </c>
      <c r="D15" s="37" t="s">
        <v>64</v>
      </c>
      <c r="E15" s="28"/>
      <c r="F15" s="44" t="s">
        <v>49</v>
      </c>
      <c r="G15" s="41" t="e">
        <f>VLOOKUP($J$13,'DATOS %'!$V$108:$Y$115,4,FALSE)</f>
        <v>#N/A</v>
      </c>
      <c r="H15" s="41" t="s">
        <v>1</v>
      </c>
      <c r="I15" s="285" t="s">
        <v>215</v>
      </c>
      <c r="J15" s="46" t="e">
        <f>VLOOKUP($J$13,'DATOS %'!$V$108:$Z$115,5,FALSE)</f>
        <v>#N/A</v>
      </c>
      <c r="K15" s="21"/>
    </row>
    <row r="16" spans="1:16" ht="30.95" customHeight="1" thickBot="1" x14ac:dyDescent="0.25">
      <c r="A16" s="857" t="s">
        <v>215</v>
      </c>
      <c r="B16" s="858"/>
      <c r="C16" s="859" t="e">
        <f>VLOOKUP($E$6,'DATOS %'!N10:AA100,14,FALSE)</f>
        <v>#N/A</v>
      </c>
      <c r="D16" s="860"/>
      <c r="E16" s="28"/>
      <c r="F16" s="8"/>
      <c r="G16" s="8"/>
      <c r="H16" s="8"/>
      <c r="I16" s="8"/>
      <c r="J16" s="8"/>
    </row>
    <row r="17" spans="1:11" s="21" customFormat="1" ht="30.9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8"/>
    </row>
    <row r="18" spans="1:11" ht="31.5" customHeight="1" thickBot="1" x14ac:dyDescent="0.25">
      <c r="A18" s="847" t="s">
        <v>19</v>
      </c>
      <c r="B18" s="804"/>
      <c r="C18" s="804"/>
      <c r="D18" s="804"/>
      <c r="E18" s="804"/>
      <c r="F18" s="804"/>
      <c r="G18" s="804"/>
      <c r="H18" s="804"/>
      <c r="I18" s="804"/>
      <c r="J18" s="848"/>
    </row>
    <row r="19" spans="1:11" ht="46.5" customHeight="1" thickBot="1" x14ac:dyDescent="0.25">
      <c r="A19" s="95" t="s">
        <v>8</v>
      </c>
      <c r="B19" s="96" t="e">
        <f>VLOOKUP(J19,'DATOS %'!J163:W169,2,FALSE)</f>
        <v>#N/A</v>
      </c>
      <c r="C19" s="97" t="s">
        <v>5</v>
      </c>
      <c r="D19" s="98" t="e">
        <f>VLOOKUP(J19,'DATOS %'!J163:W169,3,FALSE)</f>
        <v>#N/A</v>
      </c>
      <c r="E19" s="99" t="s">
        <v>16</v>
      </c>
      <c r="F19" s="861" t="e">
        <f>VLOOKUP(J19,'DATOS %'!J163:W169,5,FALSE)</f>
        <v>#N/A</v>
      </c>
      <c r="G19" s="862"/>
      <c r="H19" s="97" t="s">
        <v>17</v>
      </c>
      <c r="I19" s="246" t="e">
        <f>VLOOKUP(J19,'DATOS %'!J163:W169,4,FALSE)</f>
        <v>#N/A</v>
      </c>
      <c r="J19" s="849"/>
    </row>
    <row r="20" spans="1:11" ht="31.5" customHeight="1" thickBot="1" x14ac:dyDescent="0.25">
      <c r="A20" s="851" t="s">
        <v>282</v>
      </c>
      <c r="B20" s="852"/>
      <c r="C20" s="93" t="s">
        <v>20</v>
      </c>
      <c r="D20" s="100" t="e">
        <f>VLOOKUP(J19,'DATOS %'!J163:W169,6,FALSE)</f>
        <v>#N/A</v>
      </c>
      <c r="E20" s="1103" t="s">
        <v>310</v>
      </c>
      <c r="F20" s="1104"/>
      <c r="G20" s="100" t="e">
        <f>VLOOKUP(J19,'DATOS %'!J163:W169,7,FALSE)</f>
        <v>#N/A</v>
      </c>
      <c r="H20" s="94" t="s">
        <v>7</v>
      </c>
      <c r="I20" s="248" t="e">
        <f>VLOOKUP(J19,'DATOS %'!J163:W169,8,FALSE)</f>
        <v>#N/A</v>
      </c>
      <c r="J20" s="850"/>
    </row>
    <row r="21" spans="1:11" s="47" customFormat="1" ht="15" customHeight="1" thickBo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8"/>
    </row>
    <row r="22" spans="1:11" s="49" customFormat="1" ht="31.5" customHeight="1" thickBot="1" x14ac:dyDescent="0.25">
      <c r="A22" s="830" t="s">
        <v>22</v>
      </c>
      <c r="B22" s="831"/>
      <c r="C22" s="831"/>
      <c r="D22" s="831"/>
      <c r="E22" s="831"/>
      <c r="F22" s="831"/>
      <c r="G22" s="831"/>
      <c r="H22" s="831"/>
      <c r="I22" s="831"/>
      <c r="J22" s="832"/>
      <c r="K22" s="48"/>
    </row>
    <row r="23" spans="1:11" s="48" customFormat="1" ht="2.25" customHeight="1" thickBo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  <c r="K23" s="49"/>
    </row>
    <row r="24" spans="1:11" s="49" customFormat="1" ht="31.5" customHeight="1" thickBot="1" x14ac:dyDescent="0.25">
      <c r="A24" s="396" t="s">
        <v>23</v>
      </c>
      <c r="B24" s="393"/>
      <c r="C24" s="826" t="s">
        <v>20</v>
      </c>
      <c r="D24" s="827"/>
      <c r="E24" s="1"/>
      <c r="F24" s="828" t="s">
        <v>275</v>
      </c>
      <c r="G24" s="829"/>
      <c r="H24" s="2"/>
      <c r="I24" s="397" t="s">
        <v>7</v>
      </c>
      <c r="J24" s="249"/>
      <c r="K24" s="47"/>
    </row>
    <row r="25" spans="1:11" s="47" customFormat="1" ht="15" customHeight="1" thickBot="1" x14ac:dyDescent="0.25">
      <c r="A25" s="48"/>
      <c r="B25" s="48"/>
      <c r="C25" s="48"/>
      <c r="D25" s="48"/>
      <c r="E25" s="48"/>
      <c r="F25" s="48"/>
      <c r="G25" s="48"/>
      <c r="I25" s="48"/>
      <c r="K25" s="49"/>
    </row>
    <row r="26" spans="1:11" s="49" customFormat="1" ht="29.25" customHeight="1" thickBot="1" x14ac:dyDescent="0.25">
      <c r="A26" s="283" t="s">
        <v>127</v>
      </c>
      <c r="B26" s="311">
        <v>2</v>
      </c>
      <c r="C26" s="836" t="s">
        <v>24</v>
      </c>
      <c r="D26" s="838"/>
      <c r="E26" s="48"/>
      <c r="F26" s="48"/>
      <c r="H26" s="6"/>
    </row>
    <row r="27" spans="1:11" s="49" customFormat="1" ht="31.5" customHeight="1" thickBot="1" x14ac:dyDescent="0.25">
      <c r="A27" s="1101" t="s">
        <v>25</v>
      </c>
      <c r="B27" s="1102"/>
      <c r="C27" s="284">
        <v>1</v>
      </c>
      <c r="D27" s="122">
        <v>2</v>
      </c>
      <c r="E27" s="48"/>
      <c r="F27" s="48"/>
      <c r="G27" s="855" t="s">
        <v>216</v>
      </c>
      <c r="H27" s="856"/>
    </row>
    <row r="28" spans="1:11" s="49" customFormat="1" ht="31.5" customHeight="1" thickBot="1" x14ac:dyDescent="0.25">
      <c r="A28" s="863" t="s">
        <v>26</v>
      </c>
      <c r="B28" s="229" t="s">
        <v>0</v>
      </c>
      <c r="C28" s="315"/>
      <c r="D28" s="121"/>
      <c r="E28" s="48"/>
      <c r="F28" s="48"/>
      <c r="G28" s="841" t="e">
        <f>VLOOKUP($H$26,'DATOS %'!$V$150:$AA$154,2,FALSE)</f>
        <v>#N/A</v>
      </c>
      <c r="H28" s="842"/>
      <c r="I28" s="48"/>
    </row>
    <row r="29" spans="1:11" s="49" customFormat="1" ht="31.5" customHeight="1" x14ac:dyDescent="0.2">
      <c r="A29" s="864"/>
      <c r="B29" s="310" t="s">
        <v>2</v>
      </c>
      <c r="C29" s="312"/>
      <c r="D29" s="280"/>
      <c r="E29" s="48"/>
      <c r="F29" s="48"/>
      <c r="I29" s="48"/>
    </row>
    <row r="30" spans="1:11" s="49" customFormat="1" ht="31.5" customHeight="1" x14ac:dyDescent="0.2">
      <c r="A30" s="864"/>
      <c r="B30" s="310" t="s">
        <v>2</v>
      </c>
      <c r="C30" s="312"/>
      <c r="D30" s="280"/>
      <c r="E30" s="48"/>
      <c r="F30" s="48"/>
      <c r="G30" s="48"/>
      <c r="H30" s="48"/>
      <c r="I30" s="48"/>
      <c r="J30" s="48"/>
    </row>
    <row r="31" spans="1:11" s="49" customFormat="1" ht="31.5" customHeight="1" thickBot="1" x14ac:dyDescent="0.25">
      <c r="A31" s="865"/>
      <c r="B31" s="314" t="s">
        <v>0</v>
      </c>
      <c r="C31" s="313"/>
      <c r="D31" s="281"/>
      <c r="E31" s="48"/>
      <c r="F31" s="48"/>
      <c r="G31" s="48"/>
      <c r="H31" s="48"/>
      <c r="I31" s="48"/>
      <c r="J31" s="48"/>
      <c r="K31" s="47"/>
    </row>
    <row r="32" spans="1:11" s="47" customFormat="1" ht="15" customHeight="1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s="49" customFormat="1" ht="31.5" customHeight="1" thickBot="1" x14ac:dyDescent="0.25">
      <c r="A33" s="394" t="s">
        <v>27</v>
      </c>
      <c r="B33" s="393"/>
      <c r="C33" s="826" t="s">
        <v>20</v>
      </c>
      <c r="D33" s="827"/>
      <c r="E33" s="1"/>
      <c r="F33" s="828" t="s">
        <v>275</v>
      </c>
      <c r="G33" s="829"/>
      <c r="H33" s="2"/>
      <c r="I33" s="395" t="s">
        <v>7</v>
      </c>
      <c r="J33" s="3"/>
      <c r="K33" s="47"/>
    </row>
    <row r="34" spans="1:11" s="47" customFormat="1" ht="12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49"/>
    </row>
    <row r="35" spans="1:11" s="49" customFormat="1" ht="15" customHeight="1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1" s="49" customFormat="1" ht="32.25" customHeight="1" thickBot="1" x14ac:dyDescent="0.25">
      <c r="A36" s="830" t="s">
        <v>28</v>
      </c>
      <c r="B36" s="831"/>
      <c r="C36" s="831"/>
      <c r="D36" s="831"/>
      <c r="E36" s="831"/>
      <c r="F36" s="831"/>
      <c r="G36" s="831"/>
      <c r="H36" s="831"/>
      <c r="I36" s="831"/>
      <c r="J36" s="832"/>
    </row>
    <row r="37" spans="1:11" s="49" customFormat="1" ht="3.75" customHeight="1" thickBot="1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53"/>
    </row>
    <row r="38" spans="1:11" s="49" customFormat="1" ht="31.5" customHeight="1" thickBot="1" x14ac:dyDescent="0.25">
      <c r="A38" s="48"/>
      <c r="B38" s="836" t="s">
        <v>29</v>
      </c>
      <c r="C38" s="837"/>
      <c r="D38" s="838"/>
      <c r="E38" s="48"/>
      <c r="F38" s="48"/>
      <c r="G38" s="48"/>
      <c r="H38" s="833" t="s">
        <v>237</v>
      </c>
      <c r="I38" s="834"/>
      <c r="J38" s="835"/>
    </row>
    <row r="39" spans="1:11" s="49" customFormat="1" ht="31.5" customHeight="1" thickBot="1" x14ac:dyDescent="0.25">
      <c r="A39" s="48"/>
      <c r="B39" s="55" t="s">
        <v>25</v>
      </c>
      <c r="C39" s="228">
        <v>1</v>
      </c>
      <c r="D39" s="229">
        <v>2</v>
      </c>
      <c r="E39" s="48"/>
      <c r="F39" s="48"/>
      <c r="G39" s="48"/>
      <c r="H39" s="793"/>
      <c r="I39" s="794"/>
      <c r="J39" s="795"/>
    </row>
    <row r="40" spans="1:11" s="49" customFormat="1" ht="31.5" customHeight="1" x14ac:dyDescent="0.2">
      <c r="A40" s="56"/>
      <c r="B40" s="57"/>
      <c r="C40" s="117" t="e">
        <f t="shared" ref="C40:D40" si="0">+AVERAGE(C28,C31)</f>
        <v>#DIV/0!</v>
      </c>
      <c r="D40" s="230" t="e">
        <f t="shared" si="0"/>
        <v>#DIV/0!</v>
      </c>
      <c r="E40" s="48"/>
      <c r="F40" s="48"/>
      <c r="G40" s="48"/>
      <c r="H40" s="796"/>
      <c r="I40" s="797"/>
      <c r="J40" s="798"/>
    </row>
    <row r="41" spans="1:11" s="49" customFormat="1" ht="31.5" customHeight="1" x14ac:dyDescent="0.2">
      <c r="A41" s="56"/>
      <c r="B41" s="58"/>
      <c r="C41" s="118" t="e">
        <f t="shared" ref="C41:D41" si="1">+AVERAGE(C29:C30)</f>
        <v>#DIV/0!</v>
      </c>
      <c r="D41" s="231" t="e">
        <f t="shared" si="1"/>
        <v>#DIV/0!</v>
      </c>
      <c r="E41" s="48"/>
      <c r="F41" s="48"/>
      <c r="G41" s="48"/>
      <c r="H41" s="796"/>
      <c r="I41" s="797"/>
      <c r="J41" s="798"/>
    </row>
    <row r="42" spans="1:11" s="49" customFormat="1" ht="31.5" customHeight="1" thickBot="1" x14ac:dyDescent="0.25">
      <c r="A42" s="56"/>
      <c r="B42" s="60"/>
      <c r="C42" s="119" t="e">
        <f>+C41-C40</f>
        <v>#DIV/0!</v>
      </c>
      <c r="D42" s="232" t="e">
        <f t="shared" ref="D42" si="2">+D41-D40</f>
        <v>#DIV/0!</v>
      </c>
      <c r="E42" s="48"/>
      <c r="F42" s="48"/>
      <c r="G42" s="48"/>
      <c r="H42" s="799"/>
      <c r="I42" s="800"/>
      <c r="J42" s="801"/>
    </row>
    <row r="43" spans="1:11" s="49" customFormat="1" ht="31.5" customHeight="1" thickBot="1" x14ac:dyDescent="0.25">
      <c r="A43" s="48"/>
      <c r="B43" s="61" t="s">
        <v>30</v>
      </c>
      <c r="C43" s="112" t="e">
        <f>+AVERAGE(C42:D42)</f>
        <v>#DIV/0!</v>
      </c>
      <c r="D43" s="48"/>
      <c r="E43" s="48"/>
      <c r="F43" s="48"/>
      <c r="G43" s="48"/>
      <c r="H43" s="48"/>
      <c r="I43" s="48"/>
      <c r="J43" s="48"/>
    </row>
    <row r="44" spans="1:11" s="49" customFormat="1" ht="31.5" customHeight="1" thickBot="1" x14ac:dyDescent="0.25">
      <c r="A44" s="48"/>
      <c r="B44" s="62" t="s">
        <v>65</v>
      </c>
      <c r="C44" s="253" t="e">
        <f>+STDEV(C42:D42)</f>
        <v>#DIV/0!</v>
      </c>
      <c r="D44" s="48"/>
      <c r="E44" s="48"/>
      <c r="F44" s="48"/>
      <c r="G44" s="48"/>
      <c r="H44" s="48"/>
      <c r="I44" s="48"/>
      <c r="J44" s="48"/>
      <c r="K44" s="47"/>
    </row>
    <row r="45" spans="1:11" s="47" customFormat="1" ht="15" customHeight="1" thickBot="1" x14ac:dyDescent="0.25">
      <c r="A45" s="48"/>
      <c r="B45" s="48"/>
      <c r="C45" s="48"/>
      <c r="D45" s="48"/>
      <c r="E45" s="48"/>
      <c r="F45" s="48"/>
      <c r="G45" s="63"/>
      <c r="H45" s="48"/>
      <c r="I45" s="48"/>
      <c r="J45" s="48"/>
      <c r="K45" s="49"/>
    </row>
    <row r="46" spans="1:11" s="49" customFormat="1" ht="31.5" customHeight="1" thickBot="1" x14ac:dyDescent="0.25">
      <c r="A46" s="802" t="s">
        <v>31</v>
      </c>
      <c r="B46" s="803"/>
      <c r="C46" s="804"/>
      <c r="D46" s="804"/>
      <c r="E46" s="804"/>
      <c r="F46" s="803"/>
      <c r="G46" s="803"/>
      <c r="H46" s="803"/>
      <c r="I46" s="803"/>
      <c r="J46" s="805"/>
    </row>
    <row r="47" spans="1:11" s="49" customFormat="1" ht="31.5" customHeight="1" thickBot="1" x14ac:dyDescent="0.25">
      <c r="A47" s="811" t="s">
        <v>297</v>
      </c>
      <c r="B47" s="812"/>
      <c r="C47" s="806" t="s">
        <v>32</v>
      </c>
      <c r="D47" s="807"/>
      <c r="E47" s="808"/>
      <c r="F47" s="48"/>
      <c r="G47" s="48"/>
      <c r="H47" s="48"/>
      <c r="I47" s="48"/>
      <c r="J47" s="48"/>
    </row>
    <row r="48" spans="1:11" s="49" customFormat="1" ht="36.75" customHeight="1" thickBot="1" x14ac:dyDescent="0.25">
      <c r="A48" s="813"/>
      <c r="B48" s="814"/>
      <c r="C48" s="81" t="s">
        <v>20</v>
      </c>
      <c r="D48" s="92" t="s">
        <v>21</v>
      </c>
      <c r="E48" s="82" t="s">
        <v>7</v>
      </c>
      <c r="G48" s="788" t="s">
        <v>58</v>
      </c>
      <c r="H48" s="789"/>
      <c r="I48" s="101" t="e">
        <f>+(0.34848*E50-0.009*D50*EXP(0.061*C50))/(273.15+C50)</f>
        <v>#DIV/0!</v>
      </c>
      <c r="J48" s="102" t="s">
        <v>61</v>
      </c>
    </row>
    <row r="49" spans="1:21" s="49" customFormat="1" ht="33" customHeight="1" thickBot="1" x14ac:dyDescent="0.25">
      <c r="A49" s="765" t="s">
        <v>33</v>
      </c>
      <c r="B49" s="766"/>
      <c r="C49" s="89" t="e">
        <f>+AVERAGE(E33,E24)</f>
        <v>#DIV/0!</v>
      </c>
      <c r="D49" s="90" t="e">
        <f>+AVERAGE(H33,H24)</f>
        <v>#DIV/0!</v>
      </c>
      <c r="E49" s="91" t="e">
        <f>+AVERAGE(J33,J24)</f>
        <v>#DIV/0!</v>
      </c>
      <c r="G49" s="809" t="s">
        <v>59</v>
      </c>
      <c r="H49" s="810"/>
      <c r="I49" s="64" t="e">
        <f>+I48*((0.0001)^2+(0.001*I20/2)^2+(-0.0034*D20/2)^2+(-0.01*G20/2)^2)^0.5</f>
        <v>#DIV/0!</v>
      </c>
      <c r="J49" s="65" t="s">
        <v>61</v>
      </c>
    </row>
    <row r="50" spans="1:21" s="49" customFormat="1" ht="36.75" customHeight="1" thickBot="1" x14ac:dyDescent="0.25">
      <c r="A50" s="786" t="s">
        <v>287</v>
      </c>
      <c r="B50" s="787"/>
      <c r="C50" s="83" t="e">
        <f>C49+(VLOOKUP(J19,'DATOS %'!J163:W169,9,FALSE))*C49+(VLOOKUP(J19,'DATOS %'!J163:W169,10,FALSE))</f>
        <v>#DIV/0!</v>
      </c>
      <c r="D50" s="84" t="e">
        <f>D49+(VLOOKUP(J19,'DATOS %'!J163:W169,11,FALSE))*D49+(VLOOKUP(J19,'DATOS %'!J163:W169,12,FALSE))</f>
        <v>#DIV/0!</v>
      </c>
      <c r="E50" s="85" t="e">
        <f>E49+(VLOOKUP(J19,'DATOS %'!J163:W169,13,FALSE))*E49+(VLOOKUP(J19,'DATOS %'!J163:W169,14,FALSE))</f>
        <v>#DIV/0!</v>
      </c>
      <c r="G50" s="788" t="s">
        <v>60</v>
      </c>
      <c r="H50" s="789"/>
      <c r="I50" s="66">
        <v>1.2</v>
      </c>
      <c r="J50" s="65" t="s">
        <v>61</v>
      </c>
    </row>
    <row r="51" spans="1:21" s="47" customFormat="1" ht="15" customHeight="1" thickBo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9"/>
    </row>
    <row r="52" spans="1:21" s="49" customFormat="1" ht="31.5" customHeight="1" thickBot="1" x14ac:dyDescent="0.25">
      <c r="A52" s="802" t="s">
        <v>34</v>
      </c>
      <c r="B52" s="803"/>
      <c r="C52" s="803"/>
      <c r="D52" s="803"/>
      <c r="E52" s="803"/>
      <c r="F52" s="803"/>
      <c r="G52" s="803"/>
      <c r="H52" s="803"/>
      <c r="I52" s="803"/>
      <c r="J52" s="805"/>
    </row>
    <row r="53" spans="1:21" s="49" customFormat="1" ht="31.5" customHeight="1" x14ac:dyDescent="0.35">
      <c r="A53" s="48"/>
      <c r="B53" s="67" t="s">
        <v>35</v>
      </c>
      <c r="C53" s="68"/>
      <c r="D53" s="815" t="s">
        <v>62</v>
      </c>
      <c r="E53" s="815"/>
      <c r="F53" s="69" t="s">
        <v>36</v>
      </c>
      <c r="G53" s="70" t="s">
        <v>37</v>
      </c>
      <c r="H53" s="816" t="s">
        <v>38</v>
      </c>
      <c r="I53" s="817"/>
      <c r="J53" s="48"/>
    </row>
    <row r="54" spans="1:21" s="49" customFormat="1" ht="31.5" customHeight="1" thickBot="1" x14ac:dyDescent="0.25">
      <c r="A54" s="48"/>
      <c r="B54" s="71" t="e">
        <f>+C43</f>
        <v>#DIV/0!</v>
      </c>
      <c r="C54" s="72" t="s">
        <v>1</v>
      </c>
      <c r="D54" s="73" t="e">
        <f>+C10+C11/1000</f>
        <v>#N/A</v>
      </c>
      <c r="E54" s="72" t="s">
        <v>1</v>
      </c>
      <c r="F54" s="73" t="e">
        <f>+(I48-I50)*(1/H10-1/C13)</f>
        <v>#DIV/0!</v>
      </c>
      <c r="G54" s="74"/>
      <c r="H54" s="66" t="e">
        <f>+(B54+D54*F54)*1000</f>
        <v>#DIV/0!</v>
      </c>
      <c r="I54" s="65" t="s">
        <v>3</v>
      </c>
      <c r="J54" s="48"/>
      <c r="K54" s="47"/>
    </row>
    <row r="55" spans="1:21" s="47" customFormat="1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9"/>
    </row>
    <row r="56" spans="1:21" s="49" customFormat="1" ht="31.5" customHeight="1" x14ac:dyDescent="0.2">
      <c r="A56" s="818" t="s">
        <v>39</v>
      </c>
      <c r="B56" s="819"/>
      <c r="C56" s="819"/>
      <c r="D56" s="819"/>
      <c r="E56" s="819"/>
      <c r="F56" s="819"/>
      <c r="G56" s="819"/>
      <c r="H56" s="819"/>
      <c r="I56" s="819"/>
      <c r="J56" s="819"/>
      <c r="K56" s="47"/>
    </row>
    <row r="57" spans="1:21" s="47" customFormat="1" ht="15" customHeight="1" thickBot="1" x14ac:dyDescent="0.25">
      <c r="A57" s="48"/>
      <c r="B57" s="48"/>
      <c r="C57" s="48"/>
      <c r="D57" s="48"/>
      <c r="E57" s="48"/>
      <c r="K57" s="49"/>
    </row>
    <row r="58" spans="1:21" s="49" customFormat="1" ht="31.5" customHeight="1" thickBot="1" x14ac:dyDescent="0.25">
      <c r="A58" s="820" t="s">
        <v>32</v>
      </c>
      <c r="B58" s="821"/>
      <c r="C58" s="822" t="s">
        <v>40</v>
      </c>
      <c r="D58" s="823"/>
      <c r="E58" s="824" t="s">
        <v>239</v>
      </c>
      <c r="F58" s="825"/>
      <c r="G58" s="404" t="s">
        <v>326</v>
      </c>
      <c r="J58" s="111"/>
      <c r="L58" s="47"/>
      <c r="Q58" s="48"/>
      <c r="R58" s="48"/>
      <c r="S58" s="48"/>
      <c r="T58" s="48"/>
      <c r="U58" s="48"/>
    </row>
    <row r="59" spans="1:21" s="49" customFormat="1" ht="57.95" customHeight="1" thickBot="1" x14ac:dyDescent="0.25">
      <c r="A59" s="436" t="s">
        <v>41</v>
      </c>
      <c r="B59" s="413"/>
      <c r="C59" s="414" t="e">
        <f>+C44/B26^0.5*1000</f>
        <v>#DIV/0!</v>
      </c>
      <c r="D59" s="415" t="s">
        <v>3</v>
      </c>
      <c r="E59" s="416" t="s">
        <v>241</v>
      </c>
      <c r="F59" s="131">
        <f>$B$26-1</f>
        <v>1</v>
      </c>
      <c r="G59" s="391" t="e">
        <f>(C59/$G$69)^2</f>
        <v>#DIV/0!</v>
      </c>
      <c r="H59" s="48"/>
      <c r="K59" s="143">
        <v>0.3</v>
      </c>
      <c r="L59" s="144">
        <v>1.65</v>
      </c>
      <c r="M59" s="110"/>
    </row>
    <row r="60" spans="1:21" s="49" customFormat="1" ht="57.95" customHeight="1" thickBot="1" x14ac:dyDescent="0.25">
      <c r="A60" s="437" t="s">
        <v>314</v>
      </c>
      <c r="B60" s="409" t="s">
        <v>42</v>
      </c>
      <c r="C60" s="409" t="e">
        <f>+C12/2</f>
        <v>#N/A</v>
      </c>
      <c r="D60" s="410" t="s">
        <v>3</v>
      </c>
      <c r="E60" s="411" t="s">
        <v>240</v>
      </c>
      <c r="F60" s="133" t="s">
        <v>256</v>
      </c>
      <c r="G60" s="427"/>
      <c r="H60" s="790" t="s">
        <v>242</v>
      </c>
      <c r="I60" s="791"/>
      <c r="J60" s="791"/>
      <c r="K60" s="791"/>
      <c r="L60" s="791"/>
      <c r="M60" s="792"/>
    </row>
    <row r="61" spans="1:21" s="49" customFormat="1" ht="57.95" customHeight="1" thickBot="1" x14ac:dyDescent="0.25">
      <c r="A61" s="438" t="s">
        <v>315</v>
      </c>
      <c r="B61" s="418"/>
      <c r="C61" s="419" t="e">
        <f>+C12/3^0.5</f>
        <v>#N/A</v>
      </c>
      <c r="D61" s="420" t="s">
        <v>3</v>
      </c>
      <c r="E61" s="421" t="s">
        <v>240</v>
      </c>
      <c r="F61" s="134" t="s">
        <v>256</v>
      </c>
      <c r="G61" s="428"/>
      <c r="H61" s="124" t="s">
        <v>244</v>
      </c>
      <c r="I61" s="136" t="e">
        <f>MAX(C59:C62,C66:C67)</f>
        <v>#DIV/0!</v>
      </c>
      <c r="J61" s="138" t="e">
        <f>IF((I62)&lt;=(K59),"1,65","2")</f>
        <v>#DIV/0!</v>
      </c>
      <c r="K61" s="139" t="s">
        <v>243</v>
      </c>
      <c r="L61" s="140" t="s">
        <v>238</v>
      </c>
      <c r="M61" s="381" t="s">
        <v>311</v>
      </c>
    </row>
    <row r="62" spans="1:21" s="49" customFormat="1" ht="57.95" customHeight="1" thickBot="1" x14ac:dyDescent="0.3">
      <c r="A62" s="436" t="s">
        <v>43</v>
      </c>
      <c r="B62" s="424"/>
      <c r="C62" s="425" t="e">
        <f>+SQRT(SUMSQ(C60:C61))</f>
        <v>#N/A</v>
      </c>
      <c r="D62" s="415" t="s">
        <v>3</v>
      </c>
      <c r="E62" s="426" t="s">
        <v>241</v>
      </c>
      <c r="F62" s="131">
        <v>200</v>
      </c>
      <c r="G62" s="391" t="e">
        <f>(C62/$G$69)^2</f>
        <v>#N/A</v>
      </c>
      <c r="H62" s="125" t="s">
        <v>245</v>
      </c>
      <c r="I62" s="137" t="e">
        <f>SQRT((C59)^2+(C66)^2+(C67)^2)/I61</f>
        <v>#DIV/0!</v>
      </c>
      <c r="J62" s="120"/>
      <c r="K62" s="141" t="s">
        <v>243</v>
      </c>
      <c r="L62" s="142" t="s">
        <v>246</v>
      </c>
      <c r="M62" s="382" t="s">
        <v>312</v>
      </c>
    </row>
    <row r="63" spans="1:21" s="49" customFormat="1" ht="57.95" customHeight="1" x14ac:dyDescent="0.2">
      <c r="A63" s="437" t="s">
        <v>316</v>
      </c>
      <c r="B63" s="409"/>
      <c r="C63" s="422" t="e">
        <f>+I49</f>
        <v>#DIV/0!</v>
      </c>
      <c r="D63" s="409" t="s">
        <v>61</v>
      </c>
      <c r="E63" s="423" t="s">
        <v>240</v>
      </c>
      <c r="F63" s="133" t="s">
        <v>256</v>
      </c>
      <c r="G63" s="427"/>
      <c r="L63" s="47"/>
      <c r="T63" s="47"/>
      <c r="U63" s="47"/>
    </row>
    <row r="64" spans="1:21" s="49" customFormat="1" ht="57.95" customHeight="1" x14ac:dyDescent="0.2">
      <c r="A64" s="439" t="s">
        <v>44</v>
      </c>
      <c r="B64" s="406"/>
      <c r="C64" s="408" t="e">
        <f>+H11/2</f>
        <v>#N/A</v>
      </c>
      <c r="D64" s="406" t="s">
        <v>61</v>
      </c>
      <c r="E64" s="405" t="s">
        <v>240</v>
      </c>
      <c r="F64" s="135" t="s">
        <v>256</v>
      </c>
      <c r="G64" s="429"/>
      <c r="H64" s="123"/>
      <c r="J64" s="123"/>
      <c r="K64" s="123"/>
      <c r="L64" s="123"/>
      <c r="M64" s="123"/>
      <c r="Q64" s="48"/>
      <c r="R64" s="48"/>
      <c r="S64" s="48"/>
      <c r="T64" s="48"/>
      <c r="U64" s="48"/>
    </row>
    <row r="65" spans="1:21" s="49" customFormat="1" ht="57.95" customHeight="1" thickBot="1" x14ac:dyDescent="0.25">
      <c r="A65" s="438" t="s">
        <v>317</v>
      </c>
      <c r="B65" s="420"/>
      <c r="C65" s="430" t="e">
        <f>+C14/2</f>
        <v>#N/A</v>
      </c>
      <c r="D65" s="420" t="s">
        <v>61</v>
      </c>
      <c r="E65" s="431" t="s">
        <v>240</v>
      </c>
      <c r="F65" s="134" t="s">
        <v>256</v>
      </c>
      <c r="G65" s="429"/>
      <c r="H65" s="123"/>
      <c r="I65" s="123"/>
      <c r="J65" s="123"/>
      <c r="K65" s="123"/>
      <c r="L65" s="123"/>
      <c r="M65" s="123"/>
      <c r="Q65" s="47"/>
      <c r="R65" s="47"/>
      <c r="S65" s="47"/>
      <c r="T65" s="47"/>
      <c r="U65" s="47"/>
    </row>
    <row r="66" spans="1:21" s="49" customFormat="1" ht="57.95" customHeight="1" thickBot="1" x14ac:dyDescent="0.3">
      <c r="A66" s="440" t="s">
        <v>318</v>
      </c>
      <c r="B66" s="435"/>
      <c r="C66" s="425" t="e">
        <f>+SQRT(ABS(((C10/1000+C11/1000000)*(C13-H10)/(C13*H10)*C63)^2+((C10/1000+C11/1000000)*(I48-I50))^2*C64^2/H10^4+(C10/1000+C11/1000000)^2*(I48-I50)*((I48-I50)-2*(C15-I50))*C65^2/C13^4))*1000000</f>
        <v>#N/A</v>
      </c>
      <c r="D66" s="432" t="s">
        <v>3</v>
      </c>
      <c r="E66" s="426" t="s">
        <v>241</v>
      </c>
      <c r="F66" s="131">
        <v>200</v>
      </c>
      <c r="G66" s="429" t="e">
        <f>(C66/$G$69)^2</f>
        <v>#N/A</v>
      </c>
      <c r="H66" s="123"/>
      <c r="I66" s="386" t="s">
        <v>323</v>
      </c>
      <c r="J66" s="387" t="s">
        <v>324</v>
      </c>
      <c r="K66" s="388" t="s">
        <v>325</v>
      </c>
      <c r="L66" s="123"/>
      <c r="M66" s="123"/>
      <c r="Q66" s="48"/>
      <c r="R66" s="48"/>
      <c r="S66" s="48"/>
      <c r="T66" s="48"/>
      <c r="U66" s="48"/>
    </row>
    <row r="67" spans="1:21" s="49" customFormat="1" ht="57.95" customHeight="1" thickBot="1" x14ac:dyDescent="0.3">
      <c r="A67" s="412" t="s">
        <v>46</v>
      </c>
      <c r="B67" s="424"/>
      <c r="C67" s="433" t="e">
        <f>+(G15/2/3^0.5)*2^0.5*1000</f>
        <v>#N/A</v>
      </c>
      <c r="D67" s="432" t="s">
        <v>3</v>
      </c>
      <c r="E67" s="417" t="s">
        <v>241</v>
      </c>
      <c r="F67" s="434">
        <v>200</v>
      </c>
      <c r="G67" s="428" t="e">
        <f>(C67/$G$69)^2</f>
        <v>#N/A</v>
      </c>
      <c r="H67" s="123"/>
      <c r="I67" s="389" t="e">
        <f>G69^4/((C59^4/F59)+(C62^4/F62)+(C66^4/F66)+(C67^4/F67))</f>
        <v>#DIV/0!</v>
      </c>
      <c r="J67" s="390" t="e">
        <f>TINV(0.05,I67)</f>
        <v>#DIV/0!</v>
      </c>
      <c r="K67" s="391" t="e">
        <f>1-TDIST(J67,I67,2)</f>
        <v>#DIV/0!</v>
      </c>
      <c r="L67" s="123"/>
      <c r="M67" s="123"/>
    </row>
    <row r="68" spans="1:21" s="47" customFormat="1" ht="65.25" customHeight="1" thickBot="1" x14ac:dyDescent="0.25">
      <c r="A68" s="48"/>
      <c r="B68" s="48"/>
      <c r="G68" s="671" t="e">
        <f>SUM(G59,G62,G66,G67)</f>
        <v>#DIV/0!</v>
      </c>
      <c r="H68" s="123"/>
      <c r="I68" s="123"/>
      <c r="J68" s="123"/>
      <c r="K68" s="123"/>
      <c r="L68" s="123"/>
      <c r="M68" s="123"/>
      <c r="S68" s="49"/>
      <c r="T68" s="49"/>
      <c r="U68" s="49"/>
    </row>
    <row r="69" spans="1:21" s="103" customFormat="1" ht="51.75" customHeight="1" thickBot="1" x14ac:dyDescent="0.3">
      <c r="D69" s="765" t="s">
        <v>45</v>
      </c>
      <c r="E69" s="766"/>
      <c r="F69" s="126"/>
      <c r="G69" s="132" t="e">
        <f>+SQRT(SUMSQ(C59,C62,C66,C67))</f>
        <v>#DIV/0!</v>
      </c>
      <c r="H69" s="128" t="s">
        <v>3</v>
      </c>
      <c r="K69" s="123"/>
      <c r="L69" s="123"/>
      <c r="M69" s="123"/>
      <c r="S69" s="49"/>
      <c r="T69" s="49"/>
      <c r="U69" s="49"/>
    </row>
    <row r="70" spans="1:21" s="103" customFormat="1" ht="35.1" customHeight="1" thickBot="1" x14ac:dyDescent="0.25">
      <c r="D70" s="765" t="s">
        <v>47</v>
      </c>
      <c r="E70" s="766"/>
      <c r="F70" s="127"/>
      <c r="G70" s="132" t="e">
        <f>+G69*2</f>
        <v>#DIV/0!</v>
      </c>
      <c r="H70" s="129" t="s">
        <v>3</v>
      </c>
      <c r="K70" s="107"/>
      <c r="L70" s="104"/>
      <c r="O70" s="49"/>
      <c r="P70" s="49"/>
      <c r="Q70" s="49"/>
      <c r="R70" s="49"/>
      <c r="S70" s="49"/>
      <c r="T70" s="49"/>
      <c r="U70" s="49"/>
    </row>
    <row r="71" spans="1:21" s="103" customFormat="1" ht="33.75" customHeight="1" thickBot="1" x14ac:dyDescent="4.45">
      <c r="B71" s="767" t="s">
        <v>48</v>
      </c>
      <c r="C71" s="768"/>
      <c r="D71" s="768"/>
      <c r="E71" s="768"/>
      <c r="F71" s="768"/>
      <c r="G71" s="768"/>
      <c r="H71" s="768"/>
      <c r="I71" s="768"/>
      <c r="J71" s="768"/>
      <c r="K71" s="769"/>
      <c r="L71" s="113"/>
      <c r="O71" s="49"/>
      <c r="P71" s="49"/>
      <c r="Q71" s="49"/>
      <c r="R71" s="49"/>
      <c r="S71" s="49"/>
      <c r="T71" s="49"/>
      <c r="U71" s="49"/>
    </row>
    <row r="72" spans="1:21" s="103" customFormat="1" ht="35.1" customHeight="1" thickBot="1" x14ac:dyDescent="0.25">
      <c r="B72" s="770" t="s">
        <v>249</v>
      </c>
      <c r="C72" s="771"/>
      <c r="D72" s="771"/>
      <c r="E72" s="772"/>
      <c r="F72" s="78"/>
      <c r="G72" s="79"/>
      <c r="H72" s="773"/>
      <c r="I72" s="774"/>
      <c r="J72" s="774"/>
      <c r="K72" s="775"/>
      <c r="O72" s="49"/>
      <c r="P72" s="49"/>
      <c r="Q72" s="49"/>
      <c r="R72" s="49"/>
      <c r="S72" s="49"/>
      <c r="T72" s="49"/>
      <c r="U72" s="49"/>
    </row>
    <row r="73" spans="1:21" s="103" customFormat="1" ht="40.5" customHeight="1" x14ac:dyDescent="0.2">
      <c r="B73" s="114"/>
      <c r="C73" s="383" t="s">
        <v>321</v>
      </c>
      <c r="D73" s="115" t="s">
        <v>247</v>
      </c>
      <c r="E73" s="116"/>
      <c r="F73" s="776"/>
      <c r="G73" s="776"/>
      <c r="H73" s="777" t="s">
        <v>257</v>
      </c>
      <c r="I73" s="780" t="s">
        <v>248</v>
      </c>
      <c r="J73" s="780"/>
      <c r="K73" s="781"/>
      <c r="O73" s="49"/>
      <c r="P73" s="49"/>
      <c r="Q73" s="49"/>
      <c r="R73" s="49"/>
      <c r="S73" s="49"/>
      <c r="T73" s="49"/>
      <c r="U73" s="49"/>
    </row>
    <row r="74" spans="1:21" s="103" customFormat="1" ht="35.1" customHeight="1" x14ac:dyDescent="0.2">
      <c r="B74" s="80" t="e">
        <f>C10</f>
        <v>#N/A</v>
      </c>
      <c r="C74" s="76" t="e">
        <f>C11</f>
        <v>#N/A</v>
      </c>
      <c r="D74" s="77" t="e">
        <f>H54</f>
        <v>#DIV/0!</v>
      </c>
      <c r="E74" s="250" t="e">
        <f>B74+(C74/1000)+(D74/1000)</f>
        <v>#N/A</v>
      </c>
      <c r="F74" s="250" t="e">
        <f>E74*1000-B74*1000</f>
        <v>#N/A</v>
      </c>
      <c r="G74" s="59"/>
      <c r="H74" s="778"/>
      <c r="I74" s="252" t="e">
        <f>G70</f>
        <v>#DIV/0!</v>
      </c>
      <c r="J74" s="782"/>
      <c r="K74" s="783"/>
      <c r="O74" s="49"/>
      <c r="P74" s="49"/>
      <c r="Q74" s="49"/>
      <c r="R74" s="49"/>
      <c r="S74" s="49"/>
      <c r="T74" s="49"/>
      <c r="U74" s="49"/>
    </row>
    <row r="75" spans="1:21" s="103" customFormat="1" ht="35.1" customHeight="1" thickBot="1" x14ac:dyDescent="0.25">
      <c r="B75" s="86" t="e">
        <f>B74</f>
        <v>#N/A</v>
      </c>
      <c r="C75" s="87" t="e">
        <f>C74</f>
        <v>#N/A</v>
      </c>
      <c r="D75" s="87" t="e">
        <f>D74</f>
        <v>#DIV/0!</v>
      </c>
      <c r="E75" s="251" t="e">
        <f>B75+(C75/1000)+(D75/1000)</f>
        <v>#N/A</v>
      </c>
      <c r="F75" s="259" t="e">
        <f>F74/1000</f>
        <v>#N/A</v>
      </c>
      <c r="G75" s="88"/>
      <c r="H75" s="779"/>
      <c r="I75" s="258" t="e">
        <f>I74/1000</f>
        <v>#DIV/0!</v>
      </c>
      <c r="J75" s="784"/>
      <c r="K75" s="785"/>
      <c r="O75" s="49"/>
      <c r="P75" s="49"/>
      <c r="Q75" s="49"/>
      <c r="R75" s="49"/>
      <c r="S75" s="49"/>
      <c r="T75" s="49"/>
      <c r="U75" s="49"/>
    </row>
    <row r="76" spans="1:21" s="103" customFormat="1" ht="35.1" customHeight="1" thickBot="1" x14ac:dyDescent="0.25">
      <c r="G76" s="48"/>
      <c r="H76" s="48"/>
      <c r="I76" s="48"/>
      <c r="J76" s="48"/>
      <c r="O76" s="49"/>
      <c r="P76" s="49"/>
      <c r="Q76" s="49"/>
      <c r="R76" s="49"/>
      <c r="S76" s="49"/>
      <c r="T76" s="49"/>
      <c r="U76" s="49"/>
    </row>
    <row r="77" spans="1:21" s="103" customFormat="1" ht="35.1" customHeight="1" thickBot="1" x14ac:dyDescent="0.25">
      <c r="A77" s="1089" t="s">
        <v>298</v>
      </c>
      <c r="B77" s="1090"/>
      <c r="C77" s="1090"/>
      <c r="D77" s="1090"/>
      <c r="E77" s="1090"/>
      <c r="F77" s="1090"/>
      <c r="G77" s="1090"/>
      <c r="H77" s="1090"/>
      <c r="I77" s="1090"/>
      <c r="J77" s="1090"/>
      <c r="K77" s="1090"/>
      <c r="L77" s="1090"/>
      <c r="M77" s="1091"/>
      <c r="O77" s="49"/>
      <c r="P77" s="49"/>
      <c r="Q77" s="49"/>
      <c r="R77" s="49"/>
      <c r="S77" s="49"/>
      <c r="T77" s="49"/>
    </row>
    <row r="78" spans="1:21" s="103" customFormat="1" ht="35.1" customHeight="1" thickBot="1" x14ac:dyDescent="0.25">
      <c r="A78" s="340"/>
      <c r="B78" s="340"/>
      <c r="C78" s="340"/>
      <c r="D78" s="340"/>
      <c r="E78" s="340"/>
      <c r="F78" s="340"/>
      <c r="G78" s="341"/>
      <c r="H78" s="341"/>
      <c r="I78" s="341"/>
      <c r="J78" s="340"/>
      <c r="K78" s="340"/>
      <c r="L78" s="340"/>
      <c r="M78" s="340"/>
      <c r="O78" s="49"/>
      <c r="P78" s="49"/>
      <c r="Q78" s="49"/>
      <c r="R78" s="49"/>
      <c r="S78" s="49"/>
      <c r="T78" s="49"/>
      <c r="U78" s="49"/>
    </row>
    <row r="79" spans="1:21" s="103" customFormat="1" ht="35.1" customHeight="1" x14ac:dyDescent="0.2">
      <c r="A79" s="340"/>
      <c r="B79" s="340"/>
      <c r="C79" s="340"/>
      <c r="D79" s="340"/>
      <c r="E79" s="340"/>
      <c r="F79" s="342" t="s">
        <v>302</v>
      </c>
      <c r="G79" s="343" t="s">
        <v>301</v>
      </c>
      <c r="H79" s="344" t="s">
        <v>299</v>
      </c>
      <c r="I79" s="345" t="s">
        <v>300</v>
      </c>
      <c r="J79" s="1092" t="s">
        <v>303</v>
      </c>
      <c r="K79" s="1093"/>
      <c r="L79" s="1093"/>
      <c r="M79" s="1094"/>
    </row>
    <row r="80" spans="1:21" s="104" customFormat="1" ht="35.1" customHeight="1" x14ac:dyDescent="0.2">
      <c r="A80" s="346"/>
      <c r="B80" s="340"/>
      <c r="C80" s="340"/>
      <c r="D80" s="340"/>
      <c r="E80" s="340"/>
      <c r="F80" s="347"/>
      <c r="G80" s="348"/>
      <c r="H80" s="349">
        <f>'DATOS %'!X129</f>
        <v>0.25</v>
      </c>
      <c r="I80" s="350">
        <f>-H80</f>
        <v>-0.25</v>
      </c>
      <c r="J80" s="1095"/>
      <c r="K80" s="1096"/>
      <c r="L80" s="1096"/>
      <c r="M80" s="1097"/>
    </row>
    <row r="81" spans="1:13" s="108" customFormat="1" ht="35.1" customHeight="1" x14ac:dyDescent="0.2">
      <c r="A81" s="340"/>
      <c r="B81" s="340"/>
      <c r="C81" s="340"/>
      <c r="D81" s="340"/>
      <c r="E81" s="340"/>
      <c r="F81" s="351" t="e">
        <f>F74</f>
        <v>#N/A</v>
      </c>
      <c r="G81" s="352" t="e">
        <f>I74</f>
        <v>#DIV/0!</v>
      </c>
      <c r="H81" s="349">
        <f>H80</f>
        <v>0.25</v>
      </c>
      <c r="I81" s="350">
        <f>I80</f>
        <v>-0.25</v>
      </c>
      <c r="J81" s="1095"/>
      <c r="K81" s="1096"/>
      <c r="L81" s="1096"/>
      <c r="M81" s="1097"/>
    </row>
    <row r="82" spans="1:13" s="103" customFormat="1" ht="35.1" customHeight="1" thickBot="1" x14ac:dyDescent="0.25">
      <c r="A82" s="340"/>
      <c r="B82" s="340"/>
      <c r="C82" s="340"/>
      <c r="D82" s="340"/>
      <c r="E82" s="340"/>
      <c r="F82" s="353"/>
      <c r="G82" s="354"/>
      <c r="H82" s="355">
        <f>H80</f>
        <v>0.25</v>
      </c>
      <c r="I82" s="356">
        <f>I80</f>
        <v>-0.25</v>
      </c>
      <c r="J82" s="1098"/>
      <c r="K82" s="1099"/>
      <c r="L82" s="1099"/>
      <c r="M82" s="1100"/>
    </row>
    <row r="83" spans="1:13" s="103" customFormat="1" ht="35.1" customHeight="1" thickBot="1" x14ac:dyDescent="0.25">
      <c r="A83" s="340"/>
      <c r="B83" s="340"/>
      <c r="C83" s="340"/>
      <c r="D83" s="340"/>
      <c r="E83" s="340"/>
      <c r="F83" s="747" t="s">
        <v>427</v>
      </c>
      <c r="G83" s="748"/>
      <c r="H83" s="694"/>
      <c r="I83" s="694"/>
      <c r="J83" s="695"/>
      <c r="K83" s="696"/>
      <c r="L83" s="697"/>
      <c r="M83" s="697"/>
    </row>
    <row r="84" spans="1:13" s="103" customFormat="1" ht="35.1" customHeight="1" thickBot="1" x14ac:dyDescent="0.25">
      <c r="A84" s="340"/>
      <c r="B84" s="340"/>
      <c r="C84" s="340"/>
      <c r="D84" s="340"/>
      <c r="E84" s="340"/>
      <c r="F84" s="749"/>
      <c r="G84" s="750"/>
      <c r="H84" s="694"/>
      <c r="I84" s="694"/>
      <c r="J84" s="697"/>
      <c r="K84" s="699">
        <v>3.2</v>
      </c>
      <c r="L84" s="697"/>
      <c r="M84" s="697"/>
    </row>
    <row r="85" spans="1:13" s="103" customFormat="1" ht="35.1" customHeight="1" x14ac:dyDescent="0.2">
      <c r="A85" s="340"/>
      <c r="B85" s="340"/>
      <c r="C85" s="340"/>
      <c r="D85" s="340"/>
      <c r="E85" s="340"/>
      <c r="F85" s="694"/>
      <c r="G85" s="698"/>
      <c r="H85" s="698"/>
      <c r="I85" s="698"/>
      <c r="J85" s="698"/>
      <c r="K85" s="694"/>
      <c r="L85" s="694"/>
      <c r="M85" s="694"/>
    </row>
    <row r="86" spans="1:13" s="103" customFormat="1" ht="50.1" customHeight="1" x14ac:dyDescent="0.2"/>
    <row r="87" spans="1:13" s="103" customFormat="1" ht="57.75" customHeight="1" x14ac:dyDescent="0.2">
      <c r="C87" s="109"/>
      <c r="D87" s="109"/>
      <c r="E87" s="109"/>
    </row>
    <row r="88" spans="1:13" s="103" customFormat="1" ht="35.1" customHeight="1" x14ac:dyDescent="0.2"/>
    <row r="89" spans="1:13" s="103" customFormat="1" ht="35.1" customHeight="1" x14ac:dyDescent="0.2">
      <c r="F89" s="105"/>
      <c r="G89" s="105"/>
      <c r="H89" s="105"/>
      <c r="I89" s="105"/>
      <c r="J89" s="105"/>
    </row>
    <row r="90" spans="1:13" s="103" customFormat="1" ht="35.1" customHeight="1" x14ac:dyDescent="0.2"/>
    <row r="91" spans="1:13" s="103" customFormat="1" ht="50.1" customHeight="1" x14ac:dyDescent="0.2">
      <c r="J91" s="48"/>
    </row>
    <row r="92" spans="1:13" s="103" customFormat="1" ht="55.5" customHeight="1" x14ac:dyDescent="0.2">
      <c r="J92" s="108"/>
    </row>
    <row r="93" spans="1:13" s="103" customFormat="1" ht="50.1" customHeight="1" x14ac:dyDescent="0.2">
      <c r="J93" s="108"/>
    </row>
    <row r="94" spans="1:13" s="104" customFormat="1" ht="31.5" customHeight="1" x14ac:dyDescent="0.2">
      <c r="J94" s="108"/>
    </row>
    <row r="95" spans="1:13" s="103" customFormat="1" ht="35.1" customHeight="1" x14ac:dyDescent="0.2">
      <c r="G95" s="108"/>
      <c r="H95" s="108"/>
      <c r="I95" s="108"/>
      <c r="J95" s="108"/>
    </row>
    <row r="96" spans="1:13" s="103" customFormat="1" ht="35.1" customHeight="1" x14ac:dyDescent="0.2">
      <c r="G96" s="108"/>
      <c r="H96" s="108"/>
      <c r="I96" s="108"/>
      <c r="J96" s="108"/>
    </row>
    <row r="97" spans="1:12" s="103" customFormat="1" ht="9.9499999999999993" customHeight="1" x14ac:dyDescent="0.2">
      <c r="G97" s="105"/>
      <c r="H97" s="105"/>
      <c r="I97" s="105"/>
      <c r="J97" s="105"/>
    </row>
    <row r="98" spans="1:12" s="103" customFormat="1" ht="35.1" customHeight="1" x14ac:dyDescent="0.2">
      <c r="J98" s="105"/>
      <c r="K98" s="105"/>
      <c r="L98" s="105"/>
    </row>
    <row r="99" spans="1:12" s="47" customFormat="1" ht="15" customHeight="1" x14ac:dyDescent="0.2">
      <c r="A99" s="48"/>
      <c r="G99" s="48"/>
      <c r="H99" s="48"/>
      <c r="I99" s="48"/>
      <c r="J99" s="48"/>
      <c r="K99" s="49"/>
    </row>
    <row r="100" spans="1:12" s="49" customFormat="1" ht="31.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2" s="49" customFormat="1" ht="31.5" customHeight="1" x14ac:dyDescent="0.2"/>
    <row r="102" spans="1:12" s="49" customFormat="1" ht="31.5" customHeight="1" x14ac:dyDescent="0.2"/>
    <row r="103" spans="1:12" s="49" customFormat="1" ht="52.5" customHeight="1" x14ac:dyDescent="0.2"/>
    <row r="104" spans="1:12" s="49" customFormat="1" ht="31.5" customHeight="1" x14ac:dyDescent="0.2">
      <c r="K104" s="8"/>
    </row>
    <row r="105" spans="1:12" s="49" customFormat="1" ht="31.5" customHeight="1" x14ac:dyDescent="0.2">
      <c r="K105" s="8"/>
    </row>
    <row r="106" spans="1:12" ht="31.5" customHeight="1" x14ac:dyDescent="0.2">
      <c r="G106" s="75"/>
    </row>
    <row r="107" spans="1:12" ht="51" customHeight="1" x14ac:dyDescent="0.2"/>
    <row r="109" spans="1:12" ht="31.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t="31.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t="31.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t="31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2:10" ht="31.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2:10" ht="31.5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2:10" ht="31.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</row>
  </sheetData>
  <sheetProtection algorithmName="SHA-512" hashValue="SQANmYqt2X4OSchKtO1692BQHcrG1mMIzAN+G/sL3kZi04vvhY9PsUV4NGQmwFH3f9DNa2En838bgcWFOYTiDA==" saltValue="HugtPsrV5bR1cViT1FYxWQ==" spinCount="100000" sheet="1" objects="1" scenarios="1"/>
  <mergeCells count="65">
    <mergeCell ref="F9:G9"/>
    <mergeCell ref="A1:B1"/>
    <mergeCell ref="C1:M1"/>
    <mergeCell ref="G3:H4"/>
    <mergeCell ref="A6:D6"/>
    <mergeCell ref="F6:I6"/>
    <mergeCell ref="F19:G19"/>
    <mergeCell ref="J19:J20"/>
    <mergeCell ref="A20:B20"/>
    <mergeCell ref="E20:F20"/>
    <mergeCell ref="A10:B10"/>
    <mergeCell ref="F10:G10"/>
    <mergeCell ref="A11:B11"/>
    <mergeCell ref="F11:G11"/>
    <mergeCell ref="A12:B12"/>
    <mergeCell ref="A13:B13"/>
    <mergeCell ref="F13:I13"/>
    <mergeCell ref="A14:B14"/>
    <mergeCell ref="A15:B15"/>
    <mergeCell ref="A16:B16"/>
    <mergeCell ref="C16:D16"/>
    <mergeCell ref="A18:J18"/>
    <mergeCell ref="A22:J22"/>
    <mergeCell ref="C24:D24"/>
    <mergeCell ref="F24:G24"/>
    <mergeCell ref="C26:D26"/>
    <mergeCell ref="A27:B27"/>
    <mergeCell ref="G27:H27"/>
    <mergeCell ref="A49:B49"/>
    <mergeCell ref="G49:H49"/>
    <mergeCell ref="A28:A31"/>
    <mergeCell ref="G28:H28"/>
    <mergeCell ref="C33:D33"/>
    <mergeCell ref="F33:G33"/>
    <mergeCell ref="A36:J36"/>
    <mergeCell ref="B38:D38"/>
    <mergeCell ref="H38:J38"/>
    <mergeCell ref="H39:J42"/>
    <mergeCell ref="A46:J46"/>
    <mergeCell ref="A47:B48"/>
    <mergeCell ref="C47:E47"/>
    <mergeCell ref="G48:H48"/>
    <mergeCell ref="A56:J56"/>
    <mergeCell ref="A58:B58"/>
    <mergeCell ref="C58:D58"/>
    <mergeCell ref="E58:F58"/>
    <mergeCell ref="H60:M60"/>
    <mergeCell ref="A50:B50"/>
    <mergeCell ref="G50:H50"/>
    <mergeCell ref="A52:J52"/>
    <mergeCell ref="D53:E53"/>
    <mergeCell ref="H53:I53"/>
    <mergeCell ref="F83:G84"/>
    <mergeCell ref="A77:M77"/>
    <mergeCell ref="J79:M82"/>
    <mergeCell ref="D69:E69"/>
    <mergeCell ref="D70:E70"/>
    <mergeCell ref="B71:K71"/>
    <mergeCell ref="B72:E72"/>
    <mergeCell ref="H72:K72"/>
    <mergeCell ref="F73:G73"/>
    <mergeCell ref="H73:H75"/>
    <mergeCell ref="I73:K73"/>
    <mergeCell ref="J74:K74"/>
    <mergeCell ref="J75:K75"/>
  </mergeCells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&amp;RRT03-F23 Vr.11 (2021-05-21)</oddFooter>
  </headerFooter>
  <rowBreaks count="1" manualBreakCount="1">
    <brk id="34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800-000000000000}">
          <x14:formula1>
            <xm:f>'DATOS %'!$V$150:$V$154</xm:f>
          </x14:formula1>
          <xm:sqref>H26</xm:sqref>
        </x14:dataValidation>
        <x14:dataValidation type="list" allowBlank="1" showInputMessage="1" showErrorMessage="1" xr:uid="{00000000-0002-0000-0800-000001000000}">
          <x14:formula1>
            <xm:f>'DATOS %'!$V$109:$V$115</xm:f>
          </x14:formula1>
          <xm:sqref>J13</xm:sqref>
        </x14:dataValidation>
        <x14:dataValidation type="list" allowBlank="1" showInputMessage="1" showErrorMessage="1" xr:uid="{00000000-0002-0000-0800-000002000000}">
          <x14:formula1>
            <xm:f>'DATOS %'!$N$10:$N$100</xm:f>
          </x14:formula1>
          <xm:sqref>E6</xm:sqref>
        </x14:dataValidation>
        <x14:dataValidation type="list" allowBlank="1" showInputMessage="1" showErrorMessage="1" xr:uid="{00000000-0002-0000-0800-000003000000}">
          <x14:formula1>
            <xm:f>'DATOS %'!$N$110:$N$155</xm:f>
          </x14:formula1>
          <xm:sqref>F48</xm:sqref>
        </x14:dataValidation>
        <x14:dataValidation type="list" allowBlank="1" showInputMessage="1" showErrorMessage="1" xr:uid="{00000000-0002-0000-0800-000004000000}">
          <x14:formula1>
            <xm:f>'DATOS %'!$J$163:$J$168</xm:f>
          </x14:formula1>
          <xm:sqref>J19:J20</xm:sqref>
        </x14:dataValidation>
        <x14:dataValidation type="list" allowBlank="1" showInputMessage="1" showErrorMessage="1" xr:uid="{00000000-0002-0000-0800-000005000000}">
          <x14:formula1>
            <xm:f>'DATOS %'!$B$6:$B$28</xm:f>
          </x14:formula1>
          <xm:sqref>G3:H4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78</vt:i4>
      </vt:variant>
    </vt:vector>
  </HeadingPairs>
  <TitlesOfParts>
    <vt:vector size="98" baseType="lpstr">
      <vt:lpstr>RT03-F23 %</vt:lpstr>
      <vt:lpstr>DATOS %</vt:lpstr>
      <vt:lpstr>1 g % </vt:lpstr>
      <vt:lpstr>2 g %  </vt:lpstr>
      <vt:lpstr>2 g % +</vt:lpstr>
      <vt:lpstr>5 g %</vt:lpstr>
      <vt:lpstr>10 g % </vt:lpstr>
      <vt:lpstr>20 g %  </vt:lpstr>
      <vt:lpstr>20 g % +</vt:lpstr>
      <vt:lpstr>50 g % </vt:lpstr>
      <vt:lpstr>100 g % </vt:lpstr>
      <vt:lpstr>200 g % </vt:lpstr>
      <vt:lpstr>200 g % +</vt:lpstr>
      <vt:lpstr>500 g % </vt:lpstr>
      <vt:lpstr>1 kg % </vt:lpstr>
      <vt:lpstr>2 kg %  </vt:lpstr>
      <vt:lpstr>2 kg % +</vt:lpstr>
      <vt:lpstr>5 kg % </vt:lpstr>
      <vt:lpstr>10 kg % </vt:lpstr>
      <vt:lpstr>20 kg %  </vt:lpstr>
      <vt:lpstr>'1 g % '!Área_de_impresión</vt:lpstr>
      <vt:lpstr>'1 kg % '!Área_de_impresión</vt:lpstr>
      <vt:lpstr>'10 g % '!Área_de_impresión</vt:lpstr>
      <vt:lpstr>'10 kg % '!Área_de_impresión</vt:lpstr>
      <vt:lpstr>'100 g % '!Área_de_impresión</vt:lpstr>
      <vt:lpstr>'2 g %  '!Área_de_impresión</vt:lpstr>
      <vt:lpstr>'2 g % +'!Área_de_impresión</vt:lpstr>
      <vt:lpstr>'2 kg %  '!Área_de_impresión</vt:lpstr>
      <vt:lpstr>'2 kg % +'!Área_de_impresión</vt:lpstr>
      <vt:lpstr>'20 g %  '!Área_de_impresión</vt:lpstr>
      <vt:lpstr>'20 g % +'!Área_de_impresión</vt:lpstr>
      <vt:lpstr>'20 kg %  '!Área_de_impresión</vt:lpstr>
      <vt:lpstr>'200 g % '!Área_de_impresión</vt:lpstr>
      <vt:lpstr>'200 g % +'!Área_de_impresión</vt:lpstr>
      <vt:lpstr>'5 g %'!Área_de_impresión</vt:lpstr>
      <vt:lpstr>'5 kg % '!Área_de_impresión</vt:lpstr>
      <vt:lpstr>'50 g % '!Área_de_impresión</vt:lpstr>
      <vt:lpstr>'500 g % '!Área_de_impresión</vt:lpstr>
      <vt:lpstr>'DATOS %'!Área_de_impresión</vt:lpstr>
      <vt:lpstr>'RT03-F23 %'!Área_de_impresión</vt:lpstr>
      <vt:lpstr>'1 g % '!Print_Area</vt:lpstr>
      <vt:lpstr>'1 kg % '!Print_Area</vt:lpstr>
      <vt:lpstr>'10 g % '!Print_Area</vt:lpstr>
      <vt:lpstr>'10 kg % '!Print_Area</vt:lpstr>
      <vt:lpstr>'100 g % '!Print_Area</vt:lpstr>
      <vt:lpstr>'2 g %  '!Print_Area</vt:lpstr>
      <vt:lpstr>'2 g % +'!Print_Area</vt:lpstr>
      <vt:lpstr>'2 kg %  '!Print_Area</vt:lpstr>
      <vt:lpstr>'2 kg % +'!Print_Area</vt:lpstr>
      <vt:lpstr>'20 g %  '!Print_Area</vt:lpstr>
      <vt:lpstr>'20 g % +'!Print_Area</vt:lpstr>
      <vt:lpstr>'20 kg %  '!Print_Area</vt:lpstr>
      <vt:lpstr>'200 g % '!Print_Area</vt:lpstr>
      <vt:lpstr>'200 g % +'!Print_Area</vt:lpstr>
      <vt:lpstr>'5 g %'!Print_Area</vt:lpstr>
      <vt:lpstr>'5 kg % '!Print_Area</vt:lpstr>
      <vt:lpstr>'50 g % '!Print_Area</vt:lpstr>
      <vt:lpstr>'500 g % '!Print_Area</vt:lpstr>
      <vt:lpstr>'DATOS %'!Print_Area</vt:lpstr>
      <vt:lpstr>'RT03-F23 %'!Print_Area</vt:lpstr>
      <vt:lpstr>'1 g % '!Print_Titles</vt:lpstr>
      <vt:lpstr>'1 kg % '!Print_Titles</vt:lpstr>
      <vt:lpstr>'10 g % '!Print_Titles</vt:lpstr>
      <vt:lpstr>'10 kg % '!Print_Titles</vt:lpstr>
      <vt:lpstr>'100 g % '!Print_Titles</vt:lpstr>
      <vt:lpstr>'2 g %  '!Print_Titles</vt:lpstr>
      <vt:lpstr>'2 g % +'!Print_Titles</vt:lpstr>
      <vt:lpstr>'2 kg %  '!Print_Titles</vt:lpstr>
      <vt:lpstr>'2 kg % +'!Print_Titles</vt:lpstr>
      <vt:lpstr>'20 g %  '!Print_Titles</vt:lpstr>
      <vt:lpstr>'20 g % +'!Print_Titles</vt:lpstr>
      <vt:lpstr>'20 kg %  '!Print_Titles</vt:lpstr>
      <vt:lpstr>'200 g % '!Print_Titles</vt:lpstr>
      <vt:lpstr>'200 g % +'!Print_Titles</vt:lpstr>
      <vt:lpstr>'5 g %'!Print_Titles</vt:lpstr>
      <vt:lpstr>'5 kg % '!Print_Titles</vt:lpstr>
      <vt:lpstr>'50 g % '!Print_Titles</vt:lpstr>
      <vt:lpstr>'500 g % '!Print_Titles</vt:lpstr>
      <vt:lpstr>'RT03-F23 %'!Print_Titles</vt:lpstr>
      <vt:lpstr>'1 g % '!Títulos_a_imprimir</vt:lpstr>
      <vt:lpstr>'1 kg % '!Títulos_a_imprimir</vt:lpstr>
      <vt:lpstr>'10 g % '!Títulos_a_imprimir</vt:lpstr>
      <vt:lpstr>'10 kg % '!Títulos_a_imprimir</vt:lpstr>
      <vt:lpstr>'100 g % '!Títulos_a_imprimir</vt:lpstr>
      <vt:lpstr>'2 g %  '!Títulos_a_imprimir</vt:lpstr>
      <vt:lpstr>'2 g % +'!Títulos_a_imprimir</vt:lpstr>
      <vt:lpstr>'2 kg %  '!Títulos_a_imprimir</vt:lpstr>
      <vt:lpstr>'2 kg % +'!Títulos_a_imprimir</vt:lpstr>
      <vt:lpstr>'20 g %  '!Títulos_a_imprimir</vt:lpstr>
      <vt:lpstr>'20 g % +'!Títulos_a_imprimir</vt:lpstr>
      <vt:lpstr>'20 kg %  '!Títulos_a_imprimir</vt:lpstr>
      <vt:lpstr>'200 g % '!Títulos_a_imprimir</vt:lpstr>
      <vt:lpstr>'200 g % +'!Títulos_a_imprimir</vt:lpstr>
      <vt:lpstr>'5 g %'!Títulos_a_imprimir</vt:lpstr>
      <vt:lpstr>'5 kg % '!Títulos_a_imprimir</vt:lpstr>
      <vt:lpstr>'50 g % '!Títulos_a_imprimir</vt:lpstr>
      <vt:lpstr>'500 g % '!Títulos_a_imprimir</vt:lpstr>
      <vt:lpstr>'RT03-F23 %'!Títulos_a_imprimir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PERSONAL</cp:lastModifiedBy>
  <cp:lastPrinted>2021-05-05T21:53:45Z</cp:lastPrinted>
  <dcterms:created xsi:type="dcterms:W3CDTF">2016-03-15T18:31:08Z</dcterms:created>
  <dcterms:modified xsi:type="dcterms:W3CDTF">2021-05-25T02:04:48Z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3606252</vt:i4>
  </property>
</Properties>
</file>